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vistabuleemployee/MN Teardrop Dropbox/Lily Taylor/Customer Archive/Stock trailers for Newsletter/"/>
    </mc:Choice>
  </mc:AlternateContent>
  <xr:revisionPtr revIDLastSave="0" documentId="13_ncr:1_{18B0D292-A486-8D46-B4CD-C9AFCD699014}" xr6:coauthVersionLast="47" xr6:coauthVersionMax="47" xr10:uidLastSave="{00000000-0000-0000-0000-000000000000}"/>
  <bookViews>
    <workbookView xWindow="1260" yWindow="500" windowWidth="23680" windowHeight="13440" tabRatio="500" activeTab="1" xr2:uid="{00000000-000D-0000-FFFF-FFFF00000000}"/>
  </bookViews>
  <sheets>
    <sheet name="Weight Calc" sheetId="17" state="hidden" r:id="rId1"/>
    <sheet name="Pricing Worksheet" sheetId="1" r:id="rId2"/>
    <sheet name="Build Sheet" sheetId="4" state="hidden" r:id="rId3"/>
    <sheet name="Major Option " sheetId="21" state="hidden" r:id="rId4"/>
    <sheet name="Work Centers " sheetId="22" state="hidden" r:id="rId5"/>
  </sheets>
  <externalReferences>
    <externalReference r:id="rId6"/>
    <externalReference r:id="rId7"/>
  </externalReference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1" hidden="1">'Pricing Worksheet'!$B$1:$K$6</definedName>
    <definedName name="_xlnm.Print_Area" localSheetId="2">'Build Sheet'!$A$1:$G$177</definedName>
    <definedName name="_xlnm.Print_Area" localSheetId="1">'Pricing Worksheet'!$A$1:$K$66</definedName>
    <definedName name="_xlnm.Print_Area" localSheetId="0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7" l="1"/>
  <c r="F19" i="17"/>
  <c r="F22" i="17"/>
  <c r="G27" i="17"/>
  <c r="F29" i="17"/>
  <c r="F30" i="17"/>
  <c r="F26" i="17"/>
  <c r="F27" i="17"/>
  <c r="F28" i="17"/>
  <c r="F25" i="17"/>
  <c r="F24" i="17"/>
  <c r="F23" i="17"/>
  <c r="F21" i="17"/>
  <c r="F20" i="17"/>
  <c r="F18" i="17"/>
  <c r="F15" i="17"/>
  <c r="F14" i="17"/>
  <c r="F12" i="17"/>
  <c r="F16" i="17"/>
  <c r="F13" i="17"/>
  <c r="F10" i="17"/>
  <c r="F9" i="17"/>
  <c r="F8" i="17"/>
  <c r="F7" i="17"/>
  <c r="F6" i="17"/>
  <c r="F5" i="17"/>
  <c r="F4" i="17"/>
  <c r="F3" i="17"/>
  <c r="F11" i="17"/>
  <c r="F31" i="17" l="1"/>
  <c r="F33" i="17" s="1"/>
  <c r="K66" i="1" s="1"/>
  <c r="C48" i="17" l="1"/>
  <c r="C50" i="17"/>
  <c r="C51" i="17"/>
  <c r="C4" i="17"/>
  <c r="H9" i="22"/>
  <c r="I70" i="22"/>
  <c r="H71" i="22"/>
  <c r="H70" i="22"/>
  <c r="H34" i="22"/>
  <c r="I69" i="22"/>
  <c r="H69" i="22"/>
  <c r="H30" i="22"/>
  <c r="H63" i="22"/>
  <c r="J41" i="22"/>
  <c r="H61" i="22"/>
  <c r="H58" i="22"/>
  <c r="H57" i="22"/>
  <c r="H7" i="22"/>
  <c r="H50" i="22"/>
  <c r="H41" i="22"/>
  <c r="H40" i="22"/>
  <c r="H35" i="22"/>
  <c r="I30" i="22"/>
  <c r="I24" i="22"/>
  <c r="H24" i="22"/>
  <c r="H20" i="22"/>
  <c r="D2" i="22"/>
  <c r="B2" i="22"/>
  <c r="E2" i="22"/>
  <c r="H12" i="22"/>
  <c r="H11" i="22"/>
  <c r="H10" i="22"/>
  <c r="H8" i="22"/>
  <c r="E5" i="22"/>
  <c r="E36" i="22" s="1"/>
  <c r="E6" i="22"/>
  <c r="E7" i="22"/>
  <c r="E8" i="22"/>
  <c r="I8" i="22"/>
  <c r="E9" i="22"/>
  <c r="E10" i="22"/>
  <c r="E11" i="22"/>
  <c r="E12" i="22"/>
  <c r="C15" i="22"/>
  <c r="D15" i="22"/>
  <c r="E15" i="22"/>
  <c r="E17" i="22"/>
  <c r="E18" i="22"/>
  <c r="E19" i="22"/>
  <c r="E20" i="22"/>
  <c r="E21" i="22"/>
  <c r="E22" i="22"/>
  <c r="E23" i="22"/>
  <c r="E24" i="22"/>
  <c r="C27" i="22"/>
  <c r="D27" i="22"/>
  <c r="E27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C48" i="22"/>
  <c r="D48" i="22"/>
  <c r="E48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C66" i="22"/>
  <c r="D66" i="22"/>
  <c r="E66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9" i="21"/>
  <c r="U9" i="21" s="1"/>
  <c r="T8" i="21"/>
  <c r="U8" i="21" s="1"/>
  <c r="T7" i="21"/>
  <c r="U7" i="21" s="1"/>
  <c r="T6" i="21"/>
  <c r="U6" i="21" s="1"/>
  <c r="T5" i="21"/>
  <c r="U5" i="21" s="1"/>
  <c r="T4" i="21"/>
  <c r="U4" i="21" s="1"/>
  <c r="T3" i="21"/>
  <c r="U3" i="21" s="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D20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 s="1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<sst xmlns="http://schemas.openxmlformats.org/spreadsheetml/2006/main" count="819" uniqueCount="482">
  <si>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</si>
  <si>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</si>
  <si>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</si>
  <si>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</si>
  <si>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</si>
  <si>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</si>
  <si>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</si>
  <si>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</si>
  <si>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</si>
  <si>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</si>
  <si>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</si>
  <si>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</si>
  <si>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</si>
  <si>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</si>
  <si>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</si>
  <si>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</si>
  <si>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</si>
  <si>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</si>
  <si>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</si>
  <si>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</si>
  <si>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</si>
  <si>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</si>
  <si>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</si>
  <si>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</si>
  <si>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</si>
  <si>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</si>
  <si>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</si>
  <si>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</si>
  <si>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</si>
  <si>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</si>
  <si>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</si>
  <si>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</si>
  <si>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</si>
  <si>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</si>
  <si>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</si>
  <si>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</si>
  <si>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</si>
  <si>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</si>
  <si>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</si>
  <si>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</si>
  <si>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</si>
  <si>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</si>
  <si>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</si>
  <si>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</si>
  <si>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</si>
  <si>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</si>
  <si>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</si>
  <si>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</si>
  <si>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</si>
  <si>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</si>
  <si>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</si>
  <si>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</si>
  <si>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</si>
  <si>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</si>
  <si>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</si>
  <si>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</si>
  <si>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</si>
  <si>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</si>
  <si>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</si>
  <si>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</si>
  <si>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</si>
  <si>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</si>
  <si>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</si>
  <si>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</si>
  <si>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</si>
  <si>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</si>
  <si>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</si>
  <si>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</si>
  <si>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</si>
  <si>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</si>
  <si>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</si>
  <si>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</si>
  <si>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</si>
  <si>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</si>
  <si>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</si>
  <si>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</si>
  <si>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</si>
  <si>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</si>
  <si>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</si>
  <si>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</si>
  <si>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</si>
  <si>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</si>
  <si>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</si>
  <si>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</si>
  <si>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</si>
  <si>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</si>
  <si>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</si>
  <si>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</si>
  <si>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</si>
  <si>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</si>
  <si>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</si>
  <si>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</si>
  <si>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</si>
  <si>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</si>
  <si>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</si>
  <si>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</si>
  <si>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</si>
  <si>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</si>
  <si>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</si>
  <si>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</si>
  <si>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</si>
  <si>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</si>
  <si>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</si>
  <si>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</si>
  <si>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</si>
  <si>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</si>
  <si>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</si>
  <si>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</si>
  <si>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</si>
  <si>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</si>
  <si>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</si>
  <si>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</si>
  <si>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</si>
  <si>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</si>
  <si>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</si>
  <si>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</si>
  <si>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</si>
  <si>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</si>
  <si>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</si>
  <si>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</si>
  <si>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</si>
  <si>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</si>
  <si>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</si>
  <si>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</si>
  <si>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</si>
  <si>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</si>
  <si>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</si>
  <si>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</si>
  <si>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</si>
  <si>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</si>
  <si>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</si>
  <si>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</si>
  <si>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</si>
  <si>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</si>
  <si>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</si>
  <si>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</si>
  <si>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</si>
  <si>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</si>
  <si>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</si>
  <si>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</si>
  <si>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</si>
  <si>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</si>
  <si>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</si>
  <si>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</si>
  <si>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</si>
  <si>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</si>
  <si>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</si>
  <si>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</si>
  <si>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</si>
  <si>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</si>
  <si>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</si>
  <si>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</si>
  <si>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</si>
  <si>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</si>
  <si>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</si>
  <si>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</si>
  <si>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</si>
  <si>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</si>
  <si>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</si>
  <si>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</si>
  <si>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</si>
  <si>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</si>
  <si>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</si>
  <si>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</si>
  <si>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</si>
  <si>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</si>
  <si>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</si>
  <si>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</si>
  <si>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</si>
  <si>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</si>
  <si>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</si>
  <si>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</si>
  <si>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</si>
  <si>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</si>
  <si>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</si>
  <si>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</si>
  <si>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</si>
  <si>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</si>
  <si>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</si>
  <si>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</si>
  <si>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</si>
  <si>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</si>
  <si>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</si>
  <si>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</si>
  <si>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</si>
  <si>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</si>
  <si>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</si>
  <si>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</si>
  <si>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</si>
  <si>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</si>
  <si>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</si>
  <si>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</si>
  <si>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</si>
  <si>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</si>
  <si>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</si>
  <si>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</si>
  <si>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</si>
  <si>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</si>
  <si>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</si>
  <si>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</si>
  <si>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</si>
  <si>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</si>
  <si>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</si>
  <si>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</si>
  <si>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</si>
  <si>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</si>
  <si>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</si>
  <si>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</si>
  <si>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</si>
  <si>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</si>
  <si>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</si>
  <si>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</si>
  <si>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</si>
  <si>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</si>
  <si>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</si>
  <si>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</si>
  <si>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</si>
  <si>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</si>
  <si>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</si>
  <si>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</si>
  <si>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</si>
  <si>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</si>
  <si>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</si>
  <si>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</si>
  <si>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</si>
  <si>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</si>
  <si>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</si>
  <si>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</si>
  <si>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</si>
  <si>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</si>
  <si>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</si>
  <si>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</si>
  <si>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</si>
  <si>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</si>
  <si>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</si>
  <si>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</si>
  <si>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</si>
  <si>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</si>
  <si>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</si>
  <si>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</si>
  <si>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</si>
  <si>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</si>
  <si>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</si>
  <si>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</si>
  <si>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</si>
  <si>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</si>
  <si>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</si>
  <si>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</si>
  <si>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</si>
  <si>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</si>
  <si>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</si>
  <si>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</si>
  <si>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</si>
  <si>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</si>
  <si>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</si>
  <si>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</si>
  <si>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</si>
  <si>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</si>
  <si>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</si>
  <si>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</si>
  <si>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</si>
  <si>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</si>
  <si>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</si>
  <si>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</si>
  <si>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</si>
  <si>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</si>
  <si>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</si>
  <si>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</si>
  <si>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</si>
  <si>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</si>
  <si>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</si>
  <si>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</si>
  <si>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</si>
  <si>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</si>
  <si>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</si>
  <si>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</si>
  <si>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</si>
  <si>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</si>
  <si>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</si>
  <si>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</si>
  <si>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</si>
  <si>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</si>
  <si>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</si>
  <si>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</si>
  <si>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</si>
  <si>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</si>
  <si>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</si>
  <si>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</si>
  <si>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</si>
  <si>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</si>
  <si>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</si>
  <si>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</si>
  <si>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</si>
  <si>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</si>
  <si>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</si>
  <si>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</si>
  <si>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</si>
  <si>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</si>
  <si>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</si>
  <si>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</si>
  <si>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</si>
  <si>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</si>
  <si>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</si>
  <si>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</si>
  <si>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</si>
  <si>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</si>
  <si>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</si>
  <si>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</si>
  <si>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</si>
  <si>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</si>
  <si>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</si>
  <si>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</si>
  <si>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</si>
  <si>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</si>
  <si>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</si>
  <si>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</si>
  <si>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</si>
  <si>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</si>
  <si>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</si>
  <si>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</si>
  <si>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</si>
  <si>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</si>
  <si>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</si>
  <si>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</si>
  <si>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</si>
  <si>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</si>
  <si>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</si>
  <si>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</si>
  <si>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</si>
  <si>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</si>
  <si>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</si>
  <si>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</si>
  <si>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</si>
  <si>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</si>
  <si>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</si>
  <si>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</si>
  <si>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</si>
  <si>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</si>
  <si>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</si>
  <si>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</si>
  <si>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</si>
  <si>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</si>
  <si>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</si>
  <si>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</si>
  <si>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</si>
  <si>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</si>
  <si>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Estimated tongue weight with selected options (excl. gear wt.)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</si>
  <si>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</si>
  <si>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</si>
  <si>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</si>
  <si>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</si>
  <si>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</si>
  <si>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</si>
  <si>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</si>
  <si>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</si>
  <si>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</si>
  <si>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</si>
  <si>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</si>
  <si>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</si>
  <si>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</si>
  <si>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</si>
  <si>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</si>
  <si>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</si>
  <si>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</si>
  <si>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</si>
  <si>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</si>
  <si>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</si>
  <si>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</si>
  <si>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</si>
  <si>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</si>
  <si>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</si>
  <si>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</si>
  <si>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</si>
  <si>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</si>
  <si>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</si>
  <si>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</si>
  <si>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</si>
  <si>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</si>
  <si>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</si>
  <si>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</si>
  <si>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</si>
  <si>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</si>
  <si>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</si>
  <si>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</si>
  <si>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</si>
  <si>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</si>
  <si>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</si>
  <si>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</si>
  <si>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</si>
  <si>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</si>
  <si>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</si>
  <si>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</si>
  <si>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</si>
  <si>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</si>
  <si>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</si>
  <si>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</si>
  <si>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</si>
  <si>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</si>
  <si>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</si>
  <si>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</si>
  <si>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</si>
  <si>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</si>
  <si>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</si>
  <si>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</si>
  <si>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</si>
  <si>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</si>
  <si>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</si>
  <si>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</si>
  <si>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</si>
  <si>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</si>
  <si>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</si>
  <si>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</si>
  <si>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</si>
  <si>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</si>
  <si>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</si>
  <si>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</si>
  <si>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</si>
  <si>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</si>
  <si>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</si>
  <si>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</si>
  <si>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</si>
  <si>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</si>
  <si>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</si>
  <si>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</si>
  <si>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</si>
  <si>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</si>
  <si>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</si>
  <si>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</si>
  <si>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</si>
  <si>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</si>
  <si>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</si>
  <si>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</si>
  <si>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</si>
  <si>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</si>
  <si>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</si>
  <si>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</si>
  <si>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</si>
  <si>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</si>
  <si>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</si>
  <si>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</si>
  <si>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</si>
  <si>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</si>
  <si>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</si>
  <si>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</si>
  <si>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</si>
  <si>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</si>
  <si>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</si>
  <si>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</si>
  <si>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</si>
  <si>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</si>
  <si>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</si>
  <si>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</si>
  <si>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</si>
  <si>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</si>
  <si>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</si>
  <si>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</si>
  <si>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</si>
  <si>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</si>
  <si>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</si>
  <si>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</si>
  <si>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</si>
  <si>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</si>
  <si>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</si>
  <si>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</si>
  <si>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</si>
  <si>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</si>
  <si>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</si>
  <si>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</si>
  <si>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full fresh water tank (8 gallons) adds approx 67 lbs</t>
  </si>
  <si>
    <t>full propane tank (4.6 gallons) adds approx 19 lbs</t>
  </si>
  <si>
    <t>Percentage of galley gear &amp; food weight that tongue weight is reduced by</t>
  </si>
  <si>
    <t>Percentage of front storage bin gear weight that tongue weight is increased by</t>
  </si>
  <si>
    <t>Percentage of headboard gear weight that tongue weight is reduceded by</t>
  </si>
  <si>
    <t>Percentage of tongue box gear weight that tongue weight is increased by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</si>
  <si>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3500# torsion axle 
• 0.040" painted silver aluminum exterior                
• Mini spare tire, mounted under A-frame
• Demco EZ-Latch coupler</t>
  </si>
  <si>
    <t>20 Lb. propane tank, regulator and propane hose system</t>
  </si>
  <si>
    <t>Starter Kit (wheel chocks, leveling blocks, breaker bar, 3/4" socket)</t>
  </si>
  <si>
    <t>Ref weights: full H2O tank +68lb; 4.6 gal propane +19lb</t>
  </si>
  <si>
    <t>Tongue Tally</t>
  </si>
  <si>
    <t>2024 Version 1.2 - effective 8-21-2024</t>
  </si>
  <si>
    <t>Sierra Tan</t>
  </si>
  <si>
    <t>Stock #1 -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</si>
</sst>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0" fillId="3" borderId="0" xfId="0" applyFill="1"/>
    <xf numFmtId="0" fontId="28" fillId="0" borderId="0" xfId="0" applyFont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166" fontId="38" fillId="0" borderId="1" xfId="1" applyNumberFormat="1" applyFont="1" applyBorder="1" applyAlignment="1" applyProtection="1">
      <alignment horizontal="left" vertical="center"/>
      <protection locked="0"/>
    </xf>
    <xf numFmtId="166" fontId="38" fillId="0" borderId="1" xfId="0" applyNumberFormat="1" applyFont="1" applyBorder="1" applyAlignment="1" applyProtection="1">
      <alignment horizontal="left" vertical="center"/>
      <protection locked="0"/>
    </xf>
    <xf numFmtId="166" fontId="38" fillId="0" borderId="41" xfId="0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  <xf numFmtId="49" fontId="42" fillId="3" borderId="19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4">
    <dxf>
      <fill>
        <patternFill>
          <bgColor rgb="FFFE9AFF"/>
        </patternFill>
      </fill>
    </dxf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5" lockText="1"/>
</file>

<file path=xl/ctrlProps/ctrlProp11.xml><?xml version="1.0" encoding="utf-8"?>
<formControlPr xmlns="http://schemas.microsoft.com/office/spreadsheetml/2009/9/main" objectType="CheckBox" fmlaLink="C28" lockText="1"/>
</file>

<file path=xl/ctrlProps/ctrlProp12.xml><?xml version="1.0" encoding="utf-8"?>
<formControlPr xmlns="http://schemas.microsoft.com/office/spreadsheetml/2009/9/main" objectType="CheckBox" fmlaLink="C32" lockText="1"/>
</file>

<file path=xl/ctrlProps/ctrlProp13.xml><?xml version="1.0" encoding="utf-8"?>
<formControlPr xmlns="http://schemas.microsoft.com/office/spreadsheetml/2009/9/main" objectType="CheckBox" fmlaLink="C33" lockText="1"/>
</file>

<file path=xl/ctrlProps/ctrlProp14.xml><?xml version="1.0" encoding="utf-8"?>
<formControlPr xmlns="http://schemas.microsoft.com/office/spreadsheetml/2009/9/main" objectType="CheckBox" fmlaLink="C37" lockText="1"/>
</file>

<file path=xl/ctrlProps/ctrlProp15.xml><?xml version="1.0" encoding="utf-8"?>
<formControlPr xmlns="http://schemas.microsoft.com/office/spreadsheetml/2009/9/main" objectType="CheckBox" fmlaLink="C39" lockText="1"/>
</file>

<file path=xl/ctrlProps/ctrlProp16.xml><?xml version="1.0" encoding="utf-8"?>
<formControlPr xmlns="http://schemas.microsoft.com/office/spreadsheetml/2009/9/main" objectType="CheckBox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checked="Checked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fmlaLink="C42" lockText="1"/>
</file>

<file path=xl/ctrlProps/ctrlProp25.xml><?xml version="1.0" encoding="utf-8"?>
<formControlPr xmlns="http://schemas.microsoft.com/office/spreadsheetml/2009/9/main" objectType="CheckBox" checked="Checked" fmlaLink="C26" lockText="1"/>
</file>

<file path=xl/ctrlProps/ctrlProp26.xml><?xml version="1.0" encoding="utf-8"?>
<formControlPr xmlns="http://schemas.microsoft.com/office/spreadsheetml/2009/9/main" objectType="CheckBox" fmlaLink="C40" lockText="1"/>
</file>

<file path=xl/ctrlProps/ctrlProp27.xml><?xml version="1.0" encoding="utf-8"?>
<formControlPr xmlns="http://schemas.microsoft.com/office/spreadsheetml/2009/9/main" objectType="CheckBox" checked="Checked" fmlaLink="C22" lockText="1"/>
</file>

<file path=xl/ctrlProps/ctrlProp28.xml><?xml version="1.0" encoding="utf-8"?>
<formControlPr xmlns="http://schemas.microsoft.com/office/spreadsheetml/2009/9/main" objectType="CheckBox" fmlaLink="C38" lockText="1"/>
</file>

<file path=xl/ctrlProps/ctrlProp29.xml><?xml version="1.0" encoding="utf-8"?>
<formControlPr xmlns="http://schemas.microsoft.com/office/spreadsheetml/2009/9/main" objectType="CheckBox" fmlaLink="C27" lockText="1"/>
</file>

<file path=xl/ctrlProps/ctrlProp3.xml><?xml version="1.0" encoding="utf-8"?>
<formControlPr xmlns="http://schemas.microsoft.com/office/spreadsheetml/2009/9/main" objectType="CheckBox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checked="Checked" fmlaLink="C52" lockText="1"/>
</file>

<file path=xl/ctrlProps/ctrlProp39.xml><?xml version="1.0" encoding="utf-8"?>
<formControlPr xmlns="http://schemas.microsoft.com/office/spreadsheetml/2009/9/main" objectType="CheckBox" checked="Checked" fmlaLink="C53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checked="Checked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checked="Checked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1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1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1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1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1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1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1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1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1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1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1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1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1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1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1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1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1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1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1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1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1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1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1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1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rcoran/MN%20Teardrop%20Dropbox/Steve%20Corcoran/%20%20%20%20%20%20%20VB%20Pricing%20Sheets/2024/2024%20pricing%20sheet%20v.1.0.xlsx" TargetMode="External"/><Relationship Id="rId1" Type="http://schemas.openxmlformats.org/officeDocument/2006/relationships/externalLinkPath" Target="/Users/berttaylor/MN%20Teardrop%20Dropbox/Carlene%20Schuder/%20%20%20%20%20%20%20VB%20Pricing%20Sheets/2024/2024%20pricing%20sheet%20v.1.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rttaylor/Desktop/PS%20to%20combine%20v.1.0.xls" TargetMode="External"/><Relationship Id="rId1" Type="http://schemas.openxmlformats.org/officeDocument/2006/relationships/externalLinkPath" Target="/Users/berttaylor/Desktop/PS%20to%20combine%20v.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 "/>
    </sheetNames>
    <sheetDataSet>
      <sheetData sheetId="0">
        <row r="20">
          <cell r="C20" t="b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"/>
      <sheetName val="Additional"/>
      <sheetName val="Detailed Steps"/>
    </sheetNames>
    <sheetDataSet>
      <sheetData sheetId="0">
        <row r="39">
          <cell r="C39" t="b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F34" sqref="F34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345</v>
      </c>
      <c r="E2" s="55" t="s">
        <v>344</v>
      </c>
      <c r="F2" s="55" t="s">
        <v>478</v>
      </c>
      <c r="G2" s="55" t="s">
        <v>343</v>
      </c>
    </row>
    <row r="3" spans="1:8" ht="19">
      <c r="A3" s="57" t="s">
        <v>4</v>
      </c>
      <c r="B3" s="58" t="s">
        <v>12</v>
      </c>
      <c r="C3" s="58">
        <v>10.4</v>
      </c>
      <c r="D3" s="58" t="str">
        <f>IF('Pricing Worksheet'!C12,C3," ")</f>
        <v xml:space="preserve"> </v>
      </c>
      <c r="E3" s="190">
        <v>-4</v>
      </c>
      <c r="F3" s="190" t="str">
        <f>IF('Pricing Worksheet'!C12,E3," ")</f>
        <v xml:space="preserve"> </v>
      </c>
      <c r="G3" s="192">
        <f t="shared" ref="G3:G30" si="0">E3/C3</f>
        <v>-0.38461538461538458</v>
      </c>
    </row>
    <row r="4" spans="1:8" ht="19">
      <c r="A4" s="57" t="s">
        <v>70</v>
      </c>
      <c r="B4" s="58" t="s">
        <v>13</v>
      </c>
      <c r="C4" s="58">
        <f>18.4+4.8</f>
        <v>23.2</v>
      </c>
      <c r="D4" s="58" t="str">
        <f>IF('Pricing Worksheet'!C13,C4," ")</f>
        <v xml:space="preserve"> </v>
      </c>
      <c r="E4" s="190">
        <v>18</v>
      </c>
      <c r="F4" s="190" t="str">
        <f>IF('Pricing Worksheet'!C13,E4," ")</f>
        <v xml:space="preserve"> </v>
      </c>
      <c r="G4" s="192">
        <f t="shared" si="0"/>
        <v>0.77586206896551724</v>
      </c>
    </row>
    <row r="5" spans="1:8" ht="19">
      <c r="A5" s="57" t="s">
        <v>34</v>
      </c>
      <c r="B5" s="58" t="s">
        <v>14</v>
      </c>
      <c r="C5" s="58">
        <v>22.8</v>
      </c>
      <c r="D5" s="58">
        <f>IF('Pricing Worksheet'!C14,C5," ")</f>
        <v>22.8</v>
      </c>
      <c r="E5" s="190">
        <v>-2</v>
      </c>
      <c r="F5" s="190">
        <f>IF('Pricing Worksheet'!C14,E5," ")</f>
        <v>-2</v>
      </c>
      <c r="G5" s="192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>
        <f>IF('Pricing Worksheet'!C15,C6," ")</f>
        <v>10.5</v>
      </c>
      <c r="E6" s="190">
        <v>-1</v>
      </c>
      <c r="F6" s="190">
        <f>IF('Pricing Worksheet'!C15,E6," ")</f>
        <v>-1</v>
      </c>
      <c r="G6" s="192">
        <f t="shared" si="0"/>
        <v>-9.5238095238095233E-2</v>
      </c>
    </row>
    <row r="7" spans="1:8" ht="19">
      <c r="A7" s="57" t="s">
        <v>138</v>
      </c>
      <c r="B7" s="58" t="s">
        <v>15</v>
      </c>
      <c r="C7" s="58">
        <v>74.8</v>
      </c>
      <c r="D7" s="58" t="str">
        <f>IF('Pricing Worksheet'!C16,C7," ")</f>
        <v xml:space="preserve"> </v>
      </c>
      <c r="E7" s="190">
        <v>-11</v>
      </c>
      <c r="F7" s="190" t="str">
        <f>IF('Pricing Worksheet'!C16,E7," ")</f>
        <v xml:space="preserve"> </v>
      </c>
      <c r="G7" s="192">
        <f t="shared" si="0"/>
        <v>-0.14705882352941177</v>
      </c>
    </row>
    <row r="8" spans="1:8" ht="19">
      <c r="A8" s="57" t="s">
        <v>139</v>
      </c>
      <c r="B8" s="58" t="s">
        <v>16</v>
      </c>
      <c r="C8" s="58">
        <v>63.2</v>
      </c>
      <c r="D8" s="58">
        <f>IF('Pricing Worksheet'!C17,C8," ")</f>
        <v>63.2</v>
      </c>
      <c r="E8" s="190">
        <v>-11</v>
      </c>
      <c r="F8" s="190">
        <f>IF('Pricing Worksheet'!C17,E8," ")</f>
        <v>-11</v>
      </c>
      <c r="G8" s="192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 t="str">
        <f>IF('Pricing Worksheet'!C18,C9," ")</f>
        <v xml:space="preserve"> </v>
      </c>
      <c r="E9" s="190">
        <v>-15</v>
      </c>
      <c r="F9" s="190" t="str">
        <f>IF('Pricing Worksheet'!C18,E9," ")</f>
        <v xml:space="preserve"> </v>
      </c>
      <c r="G9" s="192">
        <f t="shared" si="0"/>
        <v>-0.37128712871287128</v>
      </c>
      <c r="H9" t="s">
        <v>470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0">
        <v>-0.6</v>
      </c>
      <c r="F10" s="190">
        <f>IF('Pricing Worksheet'!C19,E10," ")</f>
        <v>-0.6</v>
      </c>
      <c r="G10" s="192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>
        <f>IF('Pricing Worksheet'!C20,C11," ")</f>
        <v>0.4</v>
      </c>
      <c r="E11" s="190"/>
      <c r="F11" s="190" t="str">
        <f>IF('[1]Pricing Worksheet'!C20,E11," ")</f>
        <v xml:space="preserve"> </v>
      </c>
      <c r="G11" s="192">
        <f t="shared" si="0"/>
        <v>0</v>
      </c>
    </row>
    <row r="12" spans="1:8" ht="19">
      <c r="A12" s="57" t="s">
        <v>137</v>
      </c>
      <c r="B12" s="55" t="s">
        <v>135</v>
      </c>
      <c r="C12" s="58">
        <v>0.8</v>
      </c>
      <c r="D12" s="58" t="str">
        <f>IF('Pricing Worksheet'!C21,C12," ")</f>
        <v xml:space="preserve"> </v>
      </c>
      <c r="E12" s="190">
        <v>-0.3</v>
      </c>
      <c r="F12" s="190" t="str">
        <f>IF('Pricing Worksheet'!C21,E12," ")</f>
        <v xml:space="preserve"> </v>
      </c>
      <c r="G12" s="192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 t="str">
        <f>IF('Pricing Worksheet'!C24,C13," ")</f>
        <v xml:space="preserve"> </v>
      </c>
      <c r="E13" s="190">
        <v>1</v>
      </c>
      <c r="F13" s="190" t="str">
        <f>IF('Pricing Worksheet'!C24,E13," ")</f>
        <v xml:space="preserve"> </v>
      </c>
      <c r="G13" s="192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 t="str">
        <f>IF('Pricing Worksheet'!C25,C14," ")</f>
        <v xml:space="preserve"> </v>
      </c>
      <c r="E14" s="190"/>
      <c r="F14" s="190" t="str">
        <f>IF('Pricing Worksheet'!C25,E14," ")</f>
        <v xml:space="preserve"> </v>
      </c>
      <c r="G14" s="192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>
        <f>IF('Pricing Worksheet'!C26,C15," ")</f>
        <v>0.8</v>
      </c>
      <c r="E15" s="190"/>
      <c r="F15" s="190">
        <f>IF('Pricing Worksheet'!C26,E15," ")</f>
        <v>0</v>
      </c>
      <c r="G15" s="192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 t="str">
        <f>IF('Pricing Worksheet'!C27,C16," ")</f>
        <v xml:space="preserve"> </v>
      </c>
      <c r="E16" s="190">
        <v>5</v>
      </c>
      <c r="F16" s="190" t="str">
        <f>IF('Pricing Worksheet'!C28,E16," ")</f>
        <v xml:space="preserve"> </v>
      </c>
      <c r="G16" s="192">
        <f t="shared" si="0"/>
        <v>0.65789473684210531</v>
      </c>
      <c r="H16" t="s">
        <v>471</v>
      </c>
    </row>
    <row r="17" spans="1:8" ht="19">
      <c r="A17" s="57" t="s">
        <v>359</v>
      </c>
      <c r="B17" s="55" t="s">
        <v>190</v>
      </c>
      <c r="C17" s="58">
        <v>11.5</v>
      </c>
      <c r="D17" s="58" t="str">
        <f>IF('Pricing Worksheet'!C29,C17," ")</f>
        <v xml:space="preserve"> </v>
      </c>
      <c r="E17" s="190">
        <v>7</v>
      </c>
      <c r="F17" s="190" t="str">
        <f>IF('Pricing Worksheet'!C27,E17," ")</f>
        <v xml:space="preserve"> </v>
      </c>
      <c r="G17" s="192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 t="str">
        <f>IF('Pricing Worksheet'!C32,C18," ")</f>
        <v xml:space="preserve"> </v>
      </c>
      <c r="E18" s="190">
        <v>-7</v>
      </c>
      <c r="F18" s="190" t="str">
        <f>IF('Pricing Worksheet'!C32,E18," ")</f>
        <v xml:space="preserve"> </v>
      </c>
      <c r="G18" s="192">
        <f t="shared" si="0"/>
        <v>-0.1674641148325359</v>
      </c>
      <c r="H18" t="s">
        <v>472</v>
      </c>
    </row>
    <row r="19" spans="1:8" ht="19">
      <c r="A19" s="57" t="s">
        <v>44</v>
      </c>
      <c r="B19" s="55" t="s">
        <v>21</v>
      </c>
      <c r="C19" s="58">
        <v>14.4</v>
      </c>
      <c r="D19" s="58" t="str">
        <f>IF('Pricing Worksheet'!C33,C19," ")</f>
        <v xml:space="preserve"> </v>
      </c>
      <c r="E19" s="190">
        <v>-2</v>
      </c>
      <c r="F19" s="190" t="str">
        <f>IF('Pricing Worksheet'!C33,E19," ")</f>
        <v xml:space="preserve"> </v>
      </c>
      <c r="G19" s="192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>
        <f>IF('Pricing Worksheet'!C36,C20," ")</f>
        <v>-107</v>
      </c>
      <c r="E20" s="190">
        <v>-28</v>
      </c>
      <c r="F20" s="190">
        <f>IF('Pricing Worksheet'!C36,E20," ")</f>
        <v>-28</v>
      </c>
      <c r="G20" s="192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 t="str">
        <f>IF('Pricing Worksheet'!C37,C21," ")</f>
        <v xml:space="preserve"> </v>
      </c>
      <c r="E21" s="190"/>
      <c r="F21" s="190" t="str">
        <f>IF('Pricing Worksheet'!C37,E21," ")</f>
        <v xml:space="preserve"> </v>
      </c>
      <c r="G21" s="192">
        <f t="shared" si="0"/>
        <v>0</v>
      </c>
    </row>
    <row r="22" spans="1:8" ht="19">
      <c r="A22" s="57" t="s">
        <v>164</v>
      </c>
      <c r="B22" s="55" t="s">
        <v>163</v>
      </c>
      <c r="C22" s="59">
        <v>6</v>
      </c>
      <c r="D22" s="58" t="str">
        <f>IF('Pricing Worksheet'!C38,C22," ")</f>
        <v xml:space="preserve"> </v>
      </c>
      <c r="E22" s="190">
        <v>2</v>
      </c>
      <c r="F22" s="190" t="str">
        <f>IF('Pricing Worksheet'!C38,E22," ")</f>
        <v xml:space="preserve"> </v>
      </c>
      <c r="G22" s="192">
        <f t="shared" si="0"/>
        <v>0.33333333333333331</v>
      </c>
    </row>
    <row r="23" spans="1:8" ht="19">
      <c r="A23" s="57" t="s">
        <v>36</v>
      </c>
      <c r="B23" s="55" t="s">
        <v>24</v>
      </c>
      <c r="C23" s="58">
        <v>1</v>
      </c>
      <c r="D23" s="58" t="str">
        <f>IF('Pricing Worksheet'!C33,C23," ")</f>
        <v xml:space="preserve"> </v>
      </c>
      <c r="E23" s="190"/>
      <c r="F23" s="190" t="str">
        <f>IF('Pricing Worksheet'!C39,E23," ")</f>
        <v xml:space="preserve"> </v>
      </c>
      <c r="G23" s="192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 t="str">
        <f>IF('Pricing Worksheet'!C40,C24," ")</f>
        <v xml:space="preserve"> </v>
      </c>
      <c r="E24" s="191"/>
      <c r="F24" s="191" t="str">
        <f>IF('Pricing Worksheet'!C40,E24," ")</f>
        <v xml:space="preserve"> </v>
      </c>
      <c r="G24" s="192">
        <f t="shared" si="0"/>
        <v>0</v>
      </c>
    </row>
    <row r="25" spans="1:8" ht="19">
      <c r="A25" s="57" t="s">
        <v>174</v>
      </c>
      <c r="B25" s="55" t="s">
        <v>173</v>
      </c>
      <c r="C25" s="59">
        <v>24.2</v>
      </c>
      <c r="D25" s="58" t="str">
        <f>IF('Pricing Worksheet'!C41,C25," ")</f>
        <v xml:space="preserve"> </v>
      </c>
      <c r="E25" s="191"/>
      <c r="F25" s="191" t="str">
        <f>IF('Pricing Worksheet'!C42,E25," ")</f>
        <v xml:space="preserve"> </v>
      </c>
      <c r="G25" s="192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 t="str">
        <f>IF('Pricing Worksheet'!C43,C26," ")</f>
        <v xml:space="preserve"> </v>
      </c>
      <c r="E26" s="190">
        <v>2</v>
      </c>
      <c r="F26" s="191" t="str">
        <f>IF('Pricing Worksheet'!C43,E26," ")</f>
        <v xml:space="preserve"> </v>
      </c>
      <c r="G26" s="192">
        <f t="shared" si="0"/>
        <v>0.3125</v>
      </c>
    </row>
    <row r="27" spans="1:8" ht="19">
      <c r="A27" s="57" t="s">
        <v>360</v>
      </c>
      <c r="B27" s="55" t="s">
        <v>358</v>
      </c>
      <c r="C27" s="58">
        <v>2.6</v>
      </c>
      <c r="D27" s="58" t="str">
        <f>IF('Pricing Worksheet'!C43,C27," ")</f>
        <v xml:space="preserve"> </v>
      </c>
      <c r="E27" s="190">
        <v>-0.5</v>
      </c>
      <c r="F27" s="191" t="str">
        <f>IF('Pricing Worksheet'!C44,E27," ")</f>
        <v xml:space="preserve"> </v>
      </c>
      <c r="G27" s="192">
        <f t="shared" si="0"/>
        <v>-0.19230769230769229</v>
      </c>
    </row>
    <row r="28" spans="1:8" ht="19">
      <c r="A28" s="57" t="s">
        <v>134</v>
      </c>
      <c r="B28" s="55" t="s">
        <v>133</v>
      </c>
      <c r="C28" s="58">
        <v>7</v>
      </c>
      <c r="D28" s="58" t="str">
        <f>IF('Pricing Worksheet'!C44,C28," ")</f>
        <v xml:space="preserve"> </v>
      </c>
      <c r="E28" s="190">
        <v>0</v>
      </c>
      <c r="F28" s="191">
        <f>IF('Pricing Worksheet'!C45,E28," ")</f>
        <v>0</v>
      </c>
      <c r="G28" s="192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0">
        <v>14</v>
      </c>
      <c r="F29" s="191">
        <f>IF('Pricing Worksheet'!C45,E29," ")</f>
        <v>14</v>
      </c>
      <c r="G29" s="192">
        <f t="shared" si="0"/>
        <v>0.7</v>
      </c>
      <c r="H29" s="274" t="s">
        <v>473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0">
        <v>25</v>
      </c>
      <c r="F30" s="191" t="str">
        <f>IF('Pricing Worksheet'!C46,E30," ")</f>
        <v xml:space="preserve"> </v>
      </c>
      <c r="G30" s="192">
        <f t="shared" si="0"/>
        <v>0.75757575757575757</v>
      </c>
    </row>
    <row r="31" spans="1:8">
      <c r="C31" s="60" t="s">
        <v>112</v>
      </c>
      <c r="D31" s="60">
        <f>SUM(D3:D30)</f>
        <v>12.299999999999997</v>
      </c>
      <c r="E31" s="60">
        <f>SUM(E3:E30)</f>
        <v>-8.4000000000000057</v>
      </c>
      <c r="F31" s="60">
        <f>SUM(F3:F30)</f>
        <v>-28.6</v>
      </c>
    </row>
    <row r="32" spans="1:8">
      <c r="C32" s="60" t="s">
        <v>113</v>
      </c>
      <c r="D32" s="61">
        <v>1420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1432.3</v>
      </c>
      <c r="E33" s="60">
        <f>E32+E31</f>
        <v>181.6</v>
      </c>
      <c r="F33" s="60">
        <f>F31+F32</f>
        <v>161.4</v>
      </c>
    </row>
    <row r="35" spans="1:6">
      <c r="A35" s="64" t="s">
        <v>130</v>
      </c>
      <c r="C35" s="64" t="s">
        <v>129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-(C20+C24)</f>
        <v>142</v>
      </c>
    </row>
    <row r="50" spans="1:3">
      <c r="A50" t="s">
        <v>468</v>
      </c>
      <c r="C50">
        <f>8*8.33</f>
        <v>66.64</v>
      </c>
    </row>
    <row r="51" spans="1:3">
      <c r="A51" t="s">
        <v>469</v>
      </c>
      <c r="C51">
        <f>4.1*4.6</f>
        <v>18.859999999999996</v>
      </c>
    </row>
  </sheetData>
  <pageMargins left="0.7" right="0.7" top="0.75" bottom="0.75" header="0.3" footer="0.3"/>
  <pageSetup scale="67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topLeftCell="A44" zoomScale="80" zoomScaleNormal="80" workbookViewId="0">
      <selection activeCell="I35" sqref="I35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81" t="s">
        <v>39</v>
      </c>
      <c r="C1" s="282"/>
      <c r="D1" s="282"/>
      <c r="E1" s="283"/>
      <c r="F1" s="283"/>
      <c r="G1" s="283"/>
      <c r="H1" s="283"/>
      <c r="I1" s="283"/>
      <c r="J1" s="283"/>
      <c r="K1" s="284"/>
    </row>
    <row r="2" spans="2:16" ht="20" customHeight="1">
      <c r="B2" s="295" t="s">
        <v>52</v>
      </c>
      <c r="C2" s="296"/>
      <c r="D2" s="296"/>
      <c r="E2" s="296"/>
      <c r="F2" s="300" t="s">
        <v>481</v>
      </c>
      <c r="G2" s="300"/>
      <c r="H2" s="80" t="s">
        <v>53</v>
      </c>
      <c r="I2" s="300"/>
      <c r="J2" s="300"/>
      <c r="K2" s="307"/>
    </row>
    <row r="3" spans="2:16" ht="20" customHeight="1">
      <c r="B3" s="295" t="s">
        <v>66</v>
      </c>
      <c r="C3" s="296"/>
      <c r="D3" s="296"/>
      <c r="E3" s="296"/>
      <c r="F3" s="300"/>
      <c r="G3" s="300"/>
      <c r="H3" s="80" t="s">
        <v>140</v>
      </c>
      <c r="I3" s="288"/>
      <c r="J3" s="289"/>
      <c r="K3" s="290"/>
    </row>
    <row r="4" spans="2:16" ht="20" customHeight="1">
      <c r="B4" s="295" t="s">
        <v>6</v>
      </c>
      <c r="C4" s="296"/>
      <c r="D4" s="296"/>
      <c r="E4" s="296"/>
      <c r="F4" s="300"/>
      <c r="G4" s="300"/>
      <c r="H4" s="80" t="s">
        <v>5</v>
      </c>
      <c r="I4" s="300"/>
      <c r="J4" s="300"/>
      <c r="K4" s="307"/>
    </row>
    <row r="5" spans="2:16" ht="20" customHeight="1">
      <c r="B5" s="295" t="s">
        <v>93</v>
      </c>
      <c r="C5" s="296"/>
      <c r="D5" s="296"/>
      <c r="E5" s="296"/>
      <c r="F5" s="103"/>
      <c r="G5" s="103"/>
      <c r="H5" s="80" t="s">
        <v>42</v>
      </c>
      <c r="I5" s="308"/>
      <c r="J5" s="309"/>
      <c r="K5" s="310"/>
    </row>
    <row r="6" spans="2:16" ht="20" customHeight="1" thickBot="1">
      <c r="B6" s="297" t="s">
        <v>141</v>
      </c>
      <c r="C6" s="298"/>
      <c r="D6" s="298"/>
      <c r="E6" s="298"/>
      <c r="F6" s="304"/>
      <c r="G6" s="304"/>
      <c r="H6" s="81" t="s">
        <v>265</v>
      </c>
      <c r="I6" s="305"/>
      <c r="J6" s="305"/>
      <c r="K6" s="306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285" t="s">
        <v>375</v>
      </c>
      <c r="C8" s="286"/>
      <c r="D8" s="286"/>
      <c r="E8" s="286"/>
      <c r="F8" s="286"/>
      <c r="G8" s="286"/>
      <c r="H8" s="286"/>
      <c r="I8" s="286"/>
      <c r="J8" s="286"/>
      <c r="K8" s="287"/>
    </row>
    <row r="9" spans="2:16" ht="216" customHeight="1" thickBot="1">
      <c r="B9" s="291" t="s">
        <v>361</v>
      </c>
      <c r="C9" s="292"/>
      <c r="D9" s="292"/>
      <c r="E9" s="292"/>
      <c r="F9" s="292"/>
      <c r="G9" s="293" t="s">
        <v>342</v>
      </c>
      <c r="H9" s="293"/>
      <c r="I9" s="311"/>
      <c r="J9" s="293" t="s">
        <v>474</v>
      </c>
      <c r="K9" s="294"/>
      <c r="M9" s="84"/>
    </row>
    <row r="10" spans="2:16" s="5" customFormat="1" ht="22" customHeight="1" thickBot="1">
      <c r="B10" s="183"/>
      <c r="C10" s="184" t="b">
        <v>0</v>
      </c>
      <c r="D10" s="184" t="s">
        <v>11</v>
      </c>
      <c r="E10" s="184"/>
      <c r="F10" s="185"/>
      <c r="G10" s="185"/>
      <c r="H10" s="185"/>
      <c r="I10" s="186" t="s">
        <v>9</v>
      </c>
      <c r="J10" s="187" t="s">
        <v>73</v>
      </c>
      <c r="K10" s="199">
        <v>23995</v>
      </c>
    </row>
    <row r="11" spans="2:16" ht="22" customHeight="1" thickBot="1">
      <c r="B11" s="301" t="s">
        <v>8</v>
      </c>
      <c r="C11" s="302"/>
      <c r="D11" s="302"/>
      <c r="E11" s="302"/>
      <c r="F11" s="302"/>
      <c r="G11" s="302"/>
      <c r="H11" s="302"/>
      <c r="I11" s="302"/>
      <c r="J11" s="303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39" t="b">
        <v>0</v>
      </c>
      <c r="D12" s="15" t="s">
        <v>12</v>
      </c>
      <c r="E12" s="320" t="s">
        <v>4</v>
      </c>
      <c r="F12" s="276"/>
      <c r="G12" s="276"/>
      <c r="H12" s="321"/>
      <c r="I12" s="325" t="s">
        <v>72</v>
      </c>
      <c r="J12" s="82">
        <v>395</v>
      </c>
      <c r="K12" s="37" t="str">
        <f>IF(C12,J12," ")</f>
        <v xml:space="preserve"> </v>
      </c>
      <c r="M12" s="1" t="s">
        <v>149</v>
      </c>
      <c r="N12" s="1" t="s">
        <v>149</v>
      </c>
      <c r="O12" s="1" t="s">
        <v>149</v>
      </c>
      <c r="P12" s="1" t="s">
        <v>149</v>
      </c>
    </row>
    <row r="13" spans="2:16" ht="19" customHeight="1">
      <c r="B13" s="38"/>
      <c r="C13" s="39" t="b">
        <v>0</v>
      </c>
      <c r="D13" s="15" t="s">
        <v>13</v>
      </c>
      <c r="E13" s="317" t="s">
        <v>475</v>
      </c>
      <c r="F13" s="318"/>
      <c r="G13" s="318"/>
      <c r="H13" s="319"/>
      <c r="I13" s="299"/>
      <c r="J13" s="218">
        <v>455</v>
      </c>
      <c r="K13" s="37" t="str">
        <f t="shared" ref="K13:K22" si="0">IF(C13,J13," ")</f>
        <v xml:space="preserve"> </v>
      </c>
      <c r="M13" s="1" t="s">
        <v>150</v>
      </c>
      <c r="N13" s="1" t="s">
        <v>150</v>
      </c>
      <c r="O13" s="1" t="s">
        <v>152</v>
      </c>
      <c r="P13" s="1" t="s">
        <v>150</v>
      </c>
    </row>
    <row r="14" spans="2:16" ht="19" customHeight="1">
      <c r="B14" s="38"/>
      <c r="C14" s="39" t="b">
        <v>1</v>
      </c>
      <c r="D14" s="15" t="s">
        <v>14</v>
      </c>
      <c r="E14" s="322" t="s">
        <v>34</v>
      </c>
      <c r="F14" s="323"/>
      <c r="G14" s="323"/>
      <c r="H14" s="324"/>
      <c r="I14" s="299" t="s">
        <v>43</v>
      </c>
      <c r="J14" s="218">
        <v>1295</v>
      </c>
      <c r="K14" s="37">
        <f t="shared" si="0"/>
        <v>1295</v>
      </c>
      <c r="M14" s="1" t="s">
        <v>151</v>
      </c>
      <c r="N14" s="1" t="s">
        <v>353</v>
      </c>
      <c r="O14" s="1" t="s">
        <v>182</v>
      </c>
      <c r="P14" s="1" t="s">
        <v>353</v>
      </c>
    </row>
    <row r="15" spans="2:16" ht="19" customHeight="1">
      <c r="B15" s="38"/>
      <c r="C15" s="39" t="b">
        <v>1</v>
      </c>
      <c r="D15" s="15" t="s">
        <v>18</v>
      </c>
      <c r="E15" s="317" t="s">
        <v>33</v>
      </c>
      <c r="F15" s="318"/>
      <c r="G15" s="318"/>
      <c r="H15" s="319"/>
      <c r="I15" s="312"/>
      <c r="J15" s="82">
        <v>275</v>
      </c>
      <c r="K15" s="37">
        <f t="shared" si="0"/>
        <v>275</v>
      </c>
      <c r="M15" s="1" t="s">
        <v>153</v>
      </c>
      <c r="N15" s="1" t="s">
        <v>154</v>
      </c>
      <c r="O15" s="1" t="s">
        <v>183</v>
      </c>
      <c r="P15" s="1" t="s">
        <v>154</v>
      </c>
    </row>
    <row r="16" spans="2:16" ht="19" customHeight="1">
      <c r="B16" s="38"/>
      <c r="C16" s="39" t="b">
        <v>0</v>
      </c>
      <c r="D16" s="15" t="s">
        <v>15</v>
      </c>
      <c r="E16" s="315" t="s">
        <v>170</v>
      </c>
      <c r="F16" s="315"/>
      <c r="G16" s="315"/>
      <c r="H16" s="316"/>
      <c r="I16" s="299" t="s">
        <v>175</v>
      </c>
      <c r="J16" s="82">
        <v>755</v>
      </c>
      <c r="K16" s="37" t="str">
        <f t="shared" si="0"/>
        <v xml:space="preserve"> </v>
      </c>
      <c r="M16" s="1" t="s">
        <v>279</v>
      </c>
      <c r="N16" s="1" t="s">
        <v>153</v>
      </c>
      <c r="O16" s="1" t="s">
        <v>184</v>
      </c>
      <c r="P16" s="1" t="s">
        <v>153</v>
      </c>
    </row>
    <row r="17" spans="2:16" ht="19" customHeight="1">
      <c r="B17" s="38"/>
      <c r="C17" s="39" t="b">
        <v>1</v>
      </c>
      <c r="D17" s="15" t="s">
        <v>16</v>
      </c>
      <c r="E17" s="315" t="s">
        <v>142</v>
      </c>
      <c r="F17" s="315"/>
      <c r="G17" s="315"/>
      <c r="H17" s="316"/>
      <c r="I17" s="299"/>
      <c r="J17" s="82">
        <v>755</v>
      </c>
      <c r="K17" s="37">
        <f t="shared" si="0"/>
        <v>755</v>
      </c>
      <c r="M17" s="1" t="s">
        <v>152</v>
      </c>
      <c r="N17" s="1" t="s">
        <v>155</v>
      </c>
      <c r="O17" s="1" t="s">
        <v>185</v>
      </c>
      <c r="P17" s="1" t="s">
        <v>155</v>
      </c>
    </row>
    <row r="18" spans="2:16" ht="19" customHeight="1">
      <c r="B18" s="38"/>
      <c r="C18" s="39" t="b">
        <v>0</v>
      </c>
      <c r="D18" s="15" t="s">
        <v>40</v>
      </c>
      <c r="E18" s="316" t="s">
        <v>335</v>
      </c>
      <c r="F18" s="356"/>
      <c r="G18" s="356"/>
      <c r="H18" s="357"/>
      <c r="I18" s="85" t="s">
        <v>126</v>
      </c>
      <c r="J18" s="218">
        <v>1195</v>
      </c>
      <c r="K18" s="37" t="str">
        <f t="shared" si="0"/>
        <v xml:space="preserve"> </v>
      </c>
      <c r="N18" s="1" t="s">
        <v>156</v>
      </c>
      <c r="O18" s="1" t="s">
        <v>362</v>
      </c>
      <c r="P18" s="1" t="s">
        <v>156</v>
      </c>
    </row>
    <row r="19" spans="2:16" ht="19" customHeight="1">
      <c r="B19" s="38"/>
      <c r="C19" s="39" t="b">
        <v>1</v>
      </c>
      <c r="D19" s="15" t="s">
        <v>19</v>
      </c>
      <c r="E19" s="326" t="s">
        <v>148</v>
      </c>
      <c r="F19" s="326"/>
      <c r="G19" s="327" t="s">
        <v>157</v>
      </c>
      <c r="H19" s="328"/>
      <c r="I19" s="91" t="s">
        <v>149</v>
      </c>
      <c r="J19" s="82">
        <v>325</v>
      </c>
      <c r="K19" s="37">
        <f t="shared" si="0"/>
        <v>325</v>
      </c>
      <c r="N19" s="1" t="s">
        <v>480</v>
      </c>
      <c r="O19" s="1" t="s">
        <v>186</v>
      </c>
    </row>
    <row r="20" spans="2:16" ht="19" customHeight="1">
      <c r="B20" s="38"/>
      <c r="C20" s="39" t="b">
        <v>1</v>
      </c>
      <c r="D20" s="15" t="s">
        <v>17</v>
      </c>
      <c r="E20" s="275" t="s">
        <v>35</v>
      </c>
      <c r="F20" s="275"/>
      <c r="G20" s="275"/>
      <c r="H20" s="275"/>
      <c r="I20" s="70"/>
      <c r="J20" s="82">
        <v>75</v>
      </c>
      <c r="K20" s="37">
        <f t="shared" si="0"/>
        <v>75</v>
      </c>
      <c r="O20" s="1" t="s">
        <v>187</v>
      </c>
    </row>
    <row r="21" spans="2:16" ht="19" customHeight="1">
      <c r="B21" s="38"/>
      <c r="C21" s="39" t="b">
        <v>0</v>
      </c>
      <c r="D21" s="15" t="s">
        <v>135</v>
      </c>
      <c r="E21" s="275" t="s">
        <v>143</v>
      </c>
      <c r="F21" s="275"/>
      <c r="G21" s="275"/>
      <c r="H21" s="275"/>
      <c r="I21" s="70"/>
      <c r="J21" s="82">
        <v>135</v>
      </c>
      <c r="K21" s="37" t="str">
        <f t="shared" si="0"/>
        <v xml:space="preserve"> </v>
      </c>
      <c r="O21" s="1" t="s">
        <v>188</v>
      </c>
    </row>
    <row r="22" spans="2:16" ht="19" customHeight="1" thickBot="1">
      <c r="B22" s="38"/>
      <c r="C22" s="39" t="b">
        <v>1</v>
      </c>
      <c r="D22" s="15" t="s">
        <v>41</v>
      </c>
      <c r="E22" s="180" t="s">
        <v>159</v>
      </c>
      <c r="F22" s="180"/>
      <c r="G22" s="349" t="s">
        <v>157</v>
      </c>
      <c r="H22" s="350"/>
      <c r="I22" s="181" t="s">
        <v>149</v>
      </c>
      <c r="J22" s="82">
        <v>295</v>
      </c>
      <c r="K22" s="37">
        <f t="shared" si="0"/>
        <v>295</v>
      </c>
      <c r="O22" s="1" t="s">
        <v>189</v>
      </c>
    </row>
    <row r="23" spans="2:16" ht="22" customHeight="1" thickBot="1">
      <c r="B23" s="277" t="s">
        <v>26</v>
      </c>
      <c r="C23" s="329"/>
      <c r="D23" s="329"/>
      <c r="E23" s="329"/>
      <c r="F23" s="329"/>
      <c r="G23" s="329"/>
      <c r="H23" s="329"/>
      <c r="I23" s="329"/>
      <c r="J23" s="330"/>
      <c r="K23" s="97"/>
      <c r="O23" s="1" t="s">
        <v>160</v>
      </c>
    </row>
    <row r="24" spans="2:16" ht="19" customHeight="1">
      <c r="B24" s="38"/>
      <c r="C24" s="39" t="b">
        <v>0</v>
      </c>
      <c r="D24" s="15" t="s">
        <v>27</v>
      </c>
      <c r="E24" s="313" t="s">
        <v>336</v>
      </c>
      <c r="F24" s="314"/>
      <c r="G24" s="314"/>
      <c r="H24" s="314"/>
      <c r="I24" s="182" t="s">
        <v>76</v>
      </c>
      <c r="J24" s="98">
        <v>225</v>
      </c>
      <c r="K24" s="96" t="str">
        <f t="shared" ref="K24:K54" si="1">IF(C24,J24," ")</f>
        <v xml:space="preserve"> </v>
      </c>
      <c r="O24" s="1" t="s">
        <v>205</v>
      </c>
    </row>
    <row r="25" spans="2:16" ht="19" customHeight="1">
      <c r="B25" s="38"/>
      <c r="C25" s="39" t="b">
        <v>0</v>
      </c>
      <c r="D25" s="15" t="s">
        <v>28</v>
      </c>
      <c r="E25" s="275" t="s">
        <v>78</v>
      </c>
      <c r="F25" s="275"/>
      <c r="G25" s="275"/>
      <c r="H25" s="275"/>
      <c r="I25" s="72"/>
      <c r="J25" s="219">
        <v>225</v>
      </c>
      <c r="K25" s="96" t="str">
        <f t="shared" si="1"/>
        <v xml:space="preserve"> </v>
      </c>
      <c r="O25" s="1" t="s">
        <v>161</v>
      </c>
    </row>
    <row r="26" spans="2:16" ht="19" customHeight="1">
      <c r="B26" s="38"/>
      <c r="C26" s="39" t="b">
        <v>1</v>
      </c>
      <c r="D26" s="15" t="s">
        <v>68</v>
      </c>
      <c r="E26" s="275" t="s">
        <v>69</v>
      </c>
      <c r="F26" s="275"/>
      <c r="G26" s="275"/>
      <c r="H26" s="275"/>
      <c r="I26" s="73"/>
      <c r="J26" s="98">
        <v>95</v>
      </c>
      <c r="K26" s="96">
        <f t="shared" si="1"/>
        <v>95</v>
      </c>
      <c r="O26" s="1" t="s">
        <v>162</v>
      </c>
    </row>
    <row r="27" spans="2:16" ht="19" customHeight="1">
      <c r="B27" s="38"/>
      <c r="C27" s="39" t="b">
        <v>0</v>
      </c>
      <c r="D27" s="15" t="s">
        <v>29</v>
      </c>
      <c r="E27" s="275" t="s">
        <v>106</v>
      </c>
      <c r="F27" s="275"/>
      <c r="G27" s="275"/>
      <c r="H27" s="275"/>
      <c r="I27" s="70"/>
      <c r="J27" s="98">
        <v>375</v>
      </c>
      <c r="K27" s="96" t="str">
        <f>IF(C27,J27," ")</f>
        <v xml:space="preserve"> </v>
      </c>
    </row>
    <row r="28" spans="2:16" ht="19" customHeight="1">
      <c r="B28" s="38"/>
      <c r="C28" s="39" t="b">
        <v>0</v>
      </c>
      <c r="D28" s="15" t="s">
        <v>172</v>
      </c>
      <c r="E28" s="99" t="s">
        <v>180</v>
      </c>
      <c r="F28" s="99"/>
      <c r="G28" s="99"/>
      <c r="H28" s="99"/>
      <c r="I28" s="70"/>
      <c r="J28" s="98">
        <v>155</v>
      </c>
      <c r="K28" s="96" t="str">
        <f>IF(C28,J28," ")</f>
        <v xml:space="preserve"> </v>
      </c>
    </row>
    <row r="29" spans="2:16" ht="19" customHeight="1">
      <c r="B29" s="38"/>
      <c r="C29" s="39" t="b">
        <v>0</v>
      </c>
      <c r="D29" s="15" t="s">
        <v>190</v>
      </c>
      <c r="E29" s="189" t="s">
        <v>204</v>
      </c>
      <c r="F29" s="99"/>
      <c r="G29" s="99"/>
      <c r="H29" s="99"/>
      <c r="I29" s="70"/>
      <c r="J29" s="98">
        <v>395</v>
      </c>
      <c r="K29" s="96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347</v>
      </c>
      <c r="E30" s="280" t="s">
        <v>348</v>
      </c>
      <c r="F30" s="280"/>
      <c r="G30" s="280"/>
      <c r="H30" s="280"/>
      <c r="I30" s="70"/>
      <c r="J30" s="219">
        <v>195</v>
      </c>
      <c r="K30" s="96" t="str">
        <f>IF(C30,J30," ")</f>
        <v xml:space="preserve"> </v>
      </c>
    </row>
    <row r="31" spans="2:16" ht="22" customHeight="1" thickBot="1">
      <c r="B31" s="277" t="s">
        <v>10</v>
      </c>
      <c r="C31" s="277"/>
      <c r="D31" s="277"/>
      <c r="E31" s="277"/>
      <c r="F31" s="277"/>
      <c r="G31" s="277"/>
      <c r="H31" s="277"/>
      <c r="I31" s="277"/>
      <c r="J31" s="278"/>
      <c r="K31" s="27"/>
    </row>
    <row r="32" spans="2:16" ht="19" customHeight="1">
      <c r="B32" s="38"/>
      <c r="C32" s="39" t="b">
        <v>0</v>
      </c>
      <c r="D32" s="15" t="s">
        <v>20</v>
      </c>
      <c r="E32" s="275" t="s">
        <v>75</v>
      </c>
      <c r="F32" s="275"/>
      <c r="G32" s="275"/>
      <c r="H32" s="275"/>
      <c r="I32" s="70"/>
      <c r="J32" s="218">
        <v>655</v>
      </c>
      <c r="K32" s="37" t="str">
        <f t="shared" si="1"/>
        <v xml:space="preserve"> </v>
      </c>
    </row>
    <row r="33" spans="2:11" ht="19" customHeight="1" thickBot="1">
      <c r="B33" s="38"/>
      <c r="C33" s="39" t="b">
        <v>0</v>
      </c>
      <c r="D33" s="15" t="s">
        <v>21</v>
      </c>
      <c r="E33" s="315" t="s">
        <v>44</v>
      </c>
      <c r="F33" s="315"/>
      <c r="G33" s="315"/>
      <c r="H33" s="315"/>
      <c r="I33" s="71" t="s">
        <v>74</v>
      </c>
      <c r="J33" s="218">
        <v>1695</v>
      </c>
      <c r="K33" s="37" t="str">
        <f t="shared" si="1"/>
        <v xml:space="preserve"> </v>
      </c>
    </row>
    <row r="34" spans="2:11" ht="22" customHeight="1" thickBot="1">
      <c r="B34" s="277" t="s">
        <v>357</v>
      </c>
      <c r="C34" s="329"/>
      <c r="D34" s="329"/>
      <c r="E34" s="329"/>
      <c r="F34" s="329"/>
      <c r="G34" s="329"/>
      <c r="H34" s="329"/>
      <c r="I34" s="329"/>
      <c r="J34" s="330"/>
      <c r="K34" s="27"/>
    </row>
    <row r="35" spans="2:11" ht="19" customHeight="1">
      <c r="B35" s="38"/>
      <c r="C35" s="39" t="b">
        <v>1</v>
      </c>
      <c r="D35" s="15" t="s">
        <v>22</v>
      </c>
      <c r="E35" s="275" t="s">
        <v>158</v>
      </c>
      <c r="F35" s="279"/>
      <c r="G35" s="333" t="s">
        <v>157</v>
      </c>
      <c r="H35" s="334"/>
      <c r="I35" s="91" t="s">
        <v>150</v>
      </c>
      <c r="J35" s="83">
        <v>425</v>
      </c>
      <c r="K35" s="37">
        <f t="shared" si="1"/>
        <v>425</v>
      </c>
    </row>
    <row r="36" spans="2:11" ht="19" customHeight="1">
      <c r="B36" s="38"/>
      <c r="C36" s="39" t="b">
        <v>1</v>
      </c>
      <c r="D36" s="15" t="s">
        <v>81</v>
      </c>
      <c r="E36" s="275" t="s">
        <v>169</v>
      </c>
      <c r="F36" s="275"/>
      <c r="G36" s="275"/>
      <c r="H36" s="275"/>
      <c r="I36" s="70"/>
      <c r="J36" s="83">
        <v>495</v>
      </c>
      <c r="K36" s="37">
        <f t="shared" si="1"/>
        <v>495</v>
      </c>
    </row>
    <row r="37" spans="2:11" ht="19" customHeight="1">
      <c r="B37" s="38"/>
      <c r="C37" s="39" t="b">
        <v>0</v>
      </c>
      <c r="D37" s="15" t="s">
        <v>23</v>
      </c>
      <c r="E37" s="276" t="s">
        <v>341</v>
      </c>
      <c r="F37" s="276"/>
      <c r="G37" s="276"/>
      <c r="H37" s="276"/>
      <c r="I37" s="69"/>
      <c r="J37" s="220">
        <v>1195</v>
      </c>
      <c r="K37" s="37" t="str">
        <f t="shared" si="1"/>
        <v xml:space="preserve"> </v>
      </c>
    </row>
    <row r="38" spans="2:11" ht="19" customHeight="1">
      <c r="B38" s="38"/>
      <c r="C38" s="39" t="b">
        <v>0</v>
      </c>
      <c r="D38" s="15" t="s">
        <v>179</v>
      </c>
      <c r="E38" s="276" t="s">
        <v>354</v>
      </c>
      <c r="F38" s="276"/>
      <c r="G38" s="276"/>
      <c r="H38" s="276"/>
      <c r="I38" s="69"/>
      <c r="J38" s="83">
        <v>95</v>
      </c>
      <c r="K38" s="37" t="str">
        <f>IF(C38,J38," ")</f>
        <v xml:space="preserve"> </v>
      </c>
    </row>
    <row r="39" spans="2:11" ht="19" customHeight="1">
      <c r="B39" s="38"/>
      <c r="C39" s="39" t="b">
        <v>0</v>
      </c>
      <c r="D39" s="15" t="s">
        <v>24</v>
      </c>
      <c r="E39" s="355" t="s">
        <v>36</v>
      </c>
      <c r="F39" s="355"/>
      <c r="G39" s="355"/>
      <c r="H39" s="355"/>
      <c r="I39" s="69"/>
      <c r="J39" s="220">
        <v>595</v>
      </c>
      <c r="K39" s="37" t="str">
        <f t="shared" si="1"/>
        <v xml:space="preserve"> </v>
      </c>
    </row>
    <row r="40" spans="2:11" ht="19" customHeight="1">
      <c r="B40" s="38"/>
      <c r="C40" s="39" t="b">
        <v>0</v>
      </c>
      <c r="D40" s="15" t="s">
        <v>94</v>
      </c>
      <c r="E40" s="275" t="s">
        <v>201</v>
      </c>
      <c r="F40" s="275"/>
      <c r="G40" s="275"/>
      <c r="H40" s="275"/>
      <c r="I40" s="70"/>
      <c r="J40" s="83">
        <v>795</v>
      </c>
      <c r="K40" s="37" t="str">
        <f t="shared" si="1"/>
        <v xml:space="preserve"> </v>
      </c>
    </row>
    <row r="41" spans="2:11" ht="19" customHeight="1">
      <c r="B41" s="38"/>
      <c r="C41" s="39" t="b">
        <v>0</v>
      </c>
      <c r="D41" s="15" t="s">
        <v>173</v>
      </c>
      <c r="E41" s="275" t="s">
        <v>209</v>
      </c>
      <c r="F41" s="275"/>
      <c r="G41" s="275"/>
      <c r="H41" s="275"/>
      <c r="I41" s="70"/>
      <c r="J41" s="220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0</v>
      </c>
      <c r="D42" s="15" t="s">
        <v>25</v>
      </c>
      <c r="E42" s="276" t="s">
        <v>356</v>
      </c>
      <c r="F42" s="276"/>
      <c r="G42" s="276"/>
      <c r="H42" s="276"/>
      <c r="J42" s="220">
        <v>895</v>
      </c>
      <c r="K42" s="37" t="str">
        <f t="shared" si="1"/>
        <v xml:space="preserve"> </v>
      </c>
    </row>
    <row r="43" spans="2:11" ht="19" customHeight="1">
      <c r="B43" s="38"/>
      <c r="C43" s="39" t="b">
        <v>0</v>
      </c>
      <c r="D43" s="15" t="s">
        <v>358</v>
      </c>
      <c r="E43" s="276" t="s">
        <v>374</v>
      </c>
      <c r="F43" s="276"/>
      <c r="G43" s="276"/>
      <c r="H43" s="276"/>
      <c r="J43" s="220">
        <v>295</v>
      </c>
      <c r="K43" s="37" t="str">
        <f t="shared" si="1"/>
        <v xml:space="preserve"> </v>
      </c>
    </row>
    <row r="44" spans="2:11" ht="19" customHeight="1">
      <c r="B44" s="38"/>
      <c r="C44" s="39" t="b">
        <v>0</v>
      </c>
      <c r="D44" s="15" t="s">
        <v>171</v>
      </c>
      <c r="E44" s="275" t="s">
        <v>134</v>
      </c>
      <c r="F44" s="275"/>
      <c r="G44" s="327" t="s">
        <v>157</v>
      </c>
      <c r="H44" s="328"/>
      <c r="I44" s="90" t="s">
        <v>149</v>
      </c>
      <c r="J44" s="220">
        <v>495</v>
      </c>
      <c r="K44" s="37" t="str">
        <f t="shared" si="1"/>
        <v xml:space="preserve"> </v>
      </c>
    </row>
    <row r="45" spans="2:11" ht="19" customHeight="1">
      <c r="B45" s="38"/>
      <c r="C45" s="39" t="b">
        <v>1</v>
      </c>
      <c r="D45" s="15" t="s">
        <v>37</v>
      </c>
      <c r="E45" s="331" t="s">
        <v>1</v>
      </c>
      <c r="F45" s="326"/>
      <c r="G45" s="326"/>
      <c r="H45" s="332"/>
      <c r="I45" s="312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7" t="s">
        <v>355</v>
      </c>
      <c r="F46" s="318"/>
      <c r="G46" s="318"/>
      <c r="H46" s="319"/>
      <c r="I46" s="325"/>
      <c r="J46" s="220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99" t="s">
        <v>203</v>
      </c>
      <c r="F47" s="99"/>
      <c r="G47" s="99"/>
      <c r="H47" s="99"/>
      <c r="I47" s="70"/>
      <c r="J47" s="100">
        <v>0</v>
      </c>
      <c r="K47" s="37" t="str">
        <f t="shared" si="1"/>
        <v xml:space="preserve"> </v>
      </c>
    </row>
    <row r="48" spans="2:11" ht="20" customHeight="1" thickBot="1">
      <c r="B48" s="352" t="s">
        <v>202</v>
      </c>
      <c r="C48" s="353"/>
      <c r="D48" s="353"/>
      <c r="E48" s="353"/>
      <c r="F48" s="353"/>
      <c r="G48" s="353"/>
      <c r="H48" s="353"/>
      <c r="I48" s="353"/>
      <c r="J48" s="354"/>
      <c r="K48" s="96" t="str">
        <f t="shared" si="1"/>
        <v xml:space="preserve"> </v>
      </c>
    </row>
    <row r="49" spans="2:11" ht="19" customHeight="1">
      <c r="B49" s="193"/>
      <c r="C49" s="194" t="b">
        <v>0</v>
      </c>
      <c r="D49" s="195" t="s">
        <v>191</v>
      </c>
      <c r="E49" s="351" t="s">
        <v>476</v>
      </c>
      <c r="F49" s="351"/>
      <c r="G49" s="351"/>
      <c r="H49" s="351"/>
      <c r="I49" s="196"/>
      <c r="J49" s="221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0</v>
      </c>
      <c r="D50" s="15" t="s">
        <v>192</v>
      </c>
      <c r="E50" s="275" t="s">
        <v>363</v>
      </c>
      <c r="F50" s="275"/>
      <c r="G50" s="275"/>
      <c r="H50" s="275"/>
      <c r="I50" s="70"/>
      <c r="J50" s="222">
        <v>495</v>
      </c>
      <c r="K50" s="37" t="str">
        <f t="shared" si="1"/>
        <v xml:space="preserve"> </v>
      </c>
    </row>
    <row r="51" spans="2:11" ht="19" customHeight="1">
      <c r="B51" s="38"/>
      <c r="C51" s="39" t="b">
        <v>0</v>
      </c>
      <c r="D51" s="15" t="s">
        <v>193</v>
      </c>
      <c r="E51" s="314" t="s">
        <v>210</v>
      </c>
      <c r="F51" s="314"/>
      <c r="G51" s="314"/>
      <c r="H51" s="314"/>
      <c r="I51" s="70"/>
      <c r="J51" s="222">
        <v>75</v>
      </c>
      <c r="K51" s="37" t="str">
        <f t="shared" si="1"/>
        <v xml:space="preserve"> </v>
      </c>
    </row>
    <row r="52" spans="2:11" ht="19" customHeight="1">
      <c r="B52" s="38"/>
      <c r="C52" s="39" t="b">
        <v>1</v>
      </c>
      <c r="D52" s="15" t="s">
        <v>194</v>
      </c>
      <c r="E52" s="343" t="s">
        <v>214</v>
      </c>
      <c r="F52" s="344"/>
      <c r="G52" s="344"/>
      <c r="H52" s="345"/>
      <c r="I52" s="358" t="s">
        <v>211</v>
      </c>
      <c r="J52" s="222">
        <v>15</v>
      </c>
      <c r="K52" s="110">
        <f t="shared" si="1"/>
        <v>15</v>
      </c>
    </row>
    <row r="53" spans="2:11" ht="19" customHeight="1">
      <c r="B53" s="38"/>
      <c r="C53" s="39" t="b">
        <v>1</v>
      </c>
      <c r="D53" s="15" t="s">
        <v>195</v>
      </c>
      <c r="E53" s="343" t="s">
        <v>213</v>
      </c>
      <c r="F53" s="344"/>
      <c r="G53" s="344"/>
      <c r="H53" s="345"/>
      <c r="I53" s="359"/>
      <c r="J53" s="100">
        <v>95</v>
      </c>
      <c r="K53" s="110">
        <f t="shared" si="1"/>
        <v>95</v>
      </c>
    </row>
    <row r="54" spans="2:11" ht="19" customHeight="1" thickBot="1">
      <c r="B54" s="157"/>
      <c r="C54" s="197" t="b">
        <v>1</v>
      </c>
      <c r="D54" s="198" t="s">
        <v>196</v>
      </c>
      <c r="E54" s="346" t="s">
        <v>212</v>
      </c>
      <c r="F54" s="347"/>
      <c r="G54" s="347"/>
      <c r="H54" s="348"/>
      <c r="I54" s="360"/>
      <c r="J54" s="223">
        <v>55</v>
      </c>
      <c r="K54" s="158">
        <f t="shared" si="1"/>
        <v>55</v>
      </c>
    </row>
    <row r="55" spans="2:11" s="151" customFormat="1" ht="29" hidden="1" customHeight="1" thickBot="1">
      <c r="B55" s="152"/>
      <c r="C55" s="153"/>
      <c r="D55" s="153" t="s">
        <v>84</v>
      </c>
      <c r="E55" s="153"/>
      <c r="F55" s="153"/>
      <c r="G55" s="153"/>
      <c r="H55" s="153"/>
      <c r="I55" s="153"/>
      <c r="J55" s="153"/>
      <c r="K55" s="154"/>
    </row>
    <row r="56" spans="2:11" ht="21" customHeight="1">
      <c r="B56" s="38" t="s">
        <v>30</v>
      </c>
      <c r="C56" s="111"/>
      <c r="D56" s="111"/>
      <c r="E56" s="341"/>
      <c r="F56" s="341"/>
      <c r="G56" s="341"/>
      <c r="H56" s="341"/>
      <c r="I56" s="342"/>
      <c r="J56" s="74" t="s">
        <v>31</v>
      </c>
      <c r="K56" s="109">
        <f>SUM(K10:K54)</f>
        <v>28550</v>
      </c>
    </row>
    <row r="57" spans="2:11" ht="21" customHeight="1" thickBot="1">
      <c r="B57" s="38"/>
      <c r="C57" s="148"/>
      <c r="D57" s="148"/>
      <c r="E57" s="148"/>
      <c r="F57" s="148"/>
      <c r="G57" s="148"/>
      <c r="H57" s="148"/>
      <c r="I57" s="29"/>
      <c r="J57" s="75" t="s">
        <v>0</v>
      </c>
      <c r="K57" s="77">
        <f>K56/3</f>
        <v>9516.6666666666661</v>
      </c>
    </row>
    <row r="58" spans="2:11" ht="21" customHeight="1" thickTop="1">
      <c r="B58" s="149"/>
      <c r="C58" s="150"/>
      <c r="D58" s="150"/>
      <c r="E58" s="150"/>
      <c r="F58" s="150"/>
      <c r="G58" s="150"/>
      <c r="H58" s="150"/>
      <c r="I58" s="29"/>
      <c r="J58" s="75" t="s">
        <v>2</v>
      </c>
      <c r="K58" s="78">
        <f>K56-K57</f>
        <v>19033.333333333336</v>
      </c>
    </row>
    <row r="59" spans="2:11" ht="21" customHeight="1">
      <c r="B59" s="338" t="s">
        <v>206</v>
      </c>
      <c r="C59" s="339"/>
      <c r="D59" s="339"/>
      <c r="E59" s="339"/>
      <c r="F59" s="339"/>
      <c r="G59" s="339"/>
      <c r="H59" s="339"/>
      <c r="I59" s="340"/>
      <c r="J59" s="75" t="s">
        <v>71</v>
      </c>
      <c r="K59" s="78">
        <f>K58/2</f>
        <v>9516.6666666666679</v>
      </c>
    </row>
    <row r="60" spans="2:11" ht="21" customHeight="1" thickBot="1">
      <c r="B60" s="104" t="s">
        <v>144</v>
      </c>
      <c r="C60" s="105"/>
      <c r="D60" s="105"/>
      <c r="E60" s="105"/>
      <c r="F60" s="105"/>
      <c r="G60" s="105"/>
      <c r="H60" s="105"/>
      <c r="I60" s="106"/>
      <c r="J60" s="76" t="s">
        <v>3</v>
      </c>
      <c r="K60" s="79">
        <f>K58-K59</f>
        <v>9516.6666666666679</v>
      </c>
    </row>
    <row r="61" spans="2:11" s="5" customFormat="1" ht="10" customHeight="1" thickBot="1">
      <c r="B61" s="361"/>
      <c r="C61" s="362"/>
      <c r="D61" s="362"/>
      <c r="E61" s="362"/>
      <c r="F61" s="362"/>
      <c r="G61" s="362"/>
      <c r="H61" s="362"/>
      <c r="I61" s="362"/>
      <c r="J61" s="362"/>
      <c r="K61" s="363"/>
    </row>
    <row r="62" spans="2:11" ht="21" thickBot="1">
      <c r="B62" s="94" t="s">
        <v>168</v>
      </c>
      <c r="C62" s="63"/>
      <c r="D62" s="63"/>
      <c r="E62" s="63"/>
      <c r="F62" s="63"/>
      <c r="G62" s="63"/>
      <c r="H62" s="63"/>
      <c r="I62" s="63"/>
      <c r="J62" s="86" t="s">
        <v>146</v>
      </c>
      <c r="K62" s="107">
        <v>1420</v>
      </c>
    </row>
    <row r="63" spans="2:11" ht="21" thickBot="1">
      <c r="B63" s="94" t="s">
        <v>165</v>
      </c>
      <c r="C63" s="63"/>
      <c r="D63" s="63"/>
      <c r="E63" s="63"/>
      <c r="F63" s="63"/>
      <c r="G63" s="335" t="s">
        <v>208</v>
      </c>
      <c r="H63" s="336"/>
      <c r="I63" s="337"/>
      <c r="J63" s="86" t="s">
        <v>128</v>
      </c>
      <c r="K63" s="107">
        <f>'Weight Calc'!D31</f>
        <v>12.299999999999997</v>
      </c>
    </row>
    <row r="64" spans="2:11" ht="21" thickBot="1">
      <c r="B64" s="94" t="s">
        <v>166</v>
      </c>
      <c r="C64" s="94"/>
      <c r="D64" s="94"/>
      <c r="E64" s="94"/>
      <c r="F64" s="95"/>
      <c r="G64" s="335" t="s">
        <v>207</v>
      </c>
      <c r="H64" s="336"/>
      <c r="I64" s="337"/>
      <c r="J64" s="92" t="s">
        <v>127</v>
      </c>
      <c r="K64" s="93">
        <v>0</v>
      </c>
    </row>
    <row r="65" spans="2:11" ht="21" thickBot="1">
      <c r="B65" s="94" t="s">
        <v>167</v>
      </c>
      <c r="C65" s="95"/>
      <c r="D65" s="95"/>
      <c r="E65" s="95"/>
      <c r="F65" s="95"/>
      <c r="G65" s="335" t="s">
        <v>477</v>
      </c>
      <c r="H65" s="336"/>
      <c r="I65" s="337"/>
      <c r="J65" s="89" t="s">
        <v>145</v>
      </c>
      <c r="K65" s="87">
        <f>SUM(K62:K64)</f>
        <v>1432.3</v>
      </c>
    </row>
    <row r="66" spans="2:11" ht="21" thickBot="1">
      <c r="B66" s="108" t="s">
        <v>479</v>
      </c>
      <c r="C66" s="95"/>
      <c r="D66" s="95"/>
      <c r="E66" s="95"/>
      <c r="F66" s="95"/>
      <c r="G66" s="335" t="s">
        <v>346</v>
      </c>
      <c r="H66" s="336"/>
      <c r="I66" s="337"/>
      <c r="J66" s="86" t="s">
        <v>147</v>
      </c>
      <c r="K66" s="88">
        <f>'Weight Calc'!F33</f>
        <v>161.4</v>
      </c>
    </row>
    <row r="67" spans="2:11">
      <c r="B67" s="62"/>
    </row>
  </sheetData>
  <sheetProtection sheet="1" objects="1" scenarios="1"/>
  <mergeCells count="75">
    <mergeCell ref="E50:H50"/>
    <mergeCell ref="E51:H51"/>
    <mergeCell ref="I52:I54"/>
    <mergeCell ref="B61:K61"/>
    <mergeCell ref="G64:I64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E24:H24"/>
    <mergeCell ref="E17:H17"/>
    <mergeCell ref="E15:H15"/>
    <mergeCell ref="E16:H16"/>
    <mergeCell ref="E12:H12"/>
    <mergeCell ref="E13:H13"/>
    <mergeCell ref="E14:H14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B1:K1"/>
    <mergeCell ref="B8:K8"/>
    <mergeCell ref="I3:K3"/>
    <mergeCell ref="B9:F9"/>
    <mergeCell ref="J9:K9"/>
    <mergeCell ref="B5:E5"/>
    <mergeCell ref="B6:E6"/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</mergeCells>
  <phoneticPr fontId="1" type="noConversion"/>
  <conditionalFormatting sqref="O9:S9">
    <cfRule type="expression" dxfId="23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$N$12:$N$19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295</v>
      </c>
      <c r="B1" s="380" t="str">
        <f>'Pricing Worksheet'!F2</f>
        <v>Stock #1 - Blue</v>
      </c>
      <c r="C1" s="380"/>
      <c r="D1" s="380"/>
      <c r="E1" s="381"/>
      <c r="F1" s="381"/>
      <c r="G1" s="16" t="s">
        <v>312</v>
      </c>
      <c r="H1" s="117"/>
      <c r="I1" s="115"/>
      <c r="M1" s="8"/>
    </row>
    <row r="2" spans="1:13" s="5" customFormat="1" ht="43" customHeight="1">
      <c r="A2" s="19" t="s">
        <v>294</v>
      </c>
      <c r="B2" s="380">
        <f>'Pricing Worksheet'!I6</f>
        <v>0</v>
      </c>
      <c r="C2" s="380"/>
      <c r="D2" s="380"/>
      <c r="E2" s="386" t="s">
        <v>378</v>
      </c>
      <c r="F2" s="387"/>
      <c r="G2" s="225"/>
      <c r="H2" s="117"/>
      <c r="I2" s="115"/>
      <c r="M2" s="8"/>
    </row>
    <row r="3" spans="1:13" s="5" customFormat="1" ht="30">
      <c r="A3" s="146" t="str">
        <f>'Pricing Worksheet'!F2</f>
        <v>Stock #1 - Blue</v>
      </c>
      <c r="B3" s="120"/>
      <c r="C3" s="13" t="s">
        <v>32</v>
      </c>
      <c r="D3" s="14" t="s">
        <v>318</v>
      </c>
      <c r="E3" s="121">
        <v>1</v>
      </c>
      <c r="F3" s="382" t="s">
        <v>215</v>
      </c>
      <c r="G3" s="383"/>
      <c r="H3" s="115"/>
      <c r="I3" s="116"/>
      <c r="J3" s="116"/>
      <c r="K3" s="116"/>
      <c r="L3" s="116"/>
    </row>
    <row r="4" spans="1:13">
      <c r="A4" s="9"/>
      <c r="B4" s="11" t="s">
        <v>11</v>
      </c>
      <c r="C4" s="3"/>
      <c r="D4" s="174"/>
      <c r="E4" s="3">
        <f>IF('Pricing Worksheet'!C36,0,1)</f>
        <v>0</v>
      </c>
      <c r="F4" s="384" t="s">
        <v>323</v>
      </c>
      <c r="G4" s="385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4"/>
      <c r="E5" s="3">
        <f>IF('Pricing Worksheet'!C36,1,0)</f>
        <v>1</v>
      </c>
      <c r="F5" s="384" t="s">
        <v>322</v>
      </c>
      <c r="G5" s="385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1</v>
      </c>
      <c r="F6" s="40" t="s">
        <v>377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179</v>
      </c>
      <c r="C7" s="3"/>
      <c r="D7" s="3"/>
      <c r="E7" s="3">
        <f>IF('Pricing Worksheet'!C38,1,0)</f>
        <v>0</v>
      </c>
      <c r="F7" s="40" t="s">
        <v>181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309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216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197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176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217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4"/>
      <c r="E14" s="3">
        <f>IF('Pricing Worksheet'!C13,0,1)</f>
        <v>1</v>
      </c>
      <c r="F14" s="168" t="s">
        <v>85</v>
      </c>
      <c r="G14" s="159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4"/>
      <c r="E15" s="3">
        <f>IF('Pricing Worksheet'!C13,1,0)</f>
        <v>0</v>
      </c>
      <c r="F15" s="168" t="s">
        <v>218</v>
      </c>
      <c r="G15" s="159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4"/>
      <c r="E16" s="6">
        <f>IF('Pricing Worksheet'!C14,1,0)</f>
        <v>1</v>
      </c>
      <c r="F16" s="168" t="s">
        <v>319</v>
      </c>
      <c r="G16" s="159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4"/>
      <c r="E17" s="6">
        <f>IF('Pricing Worksheet'!C15,1,0)</f>
        <v>1</v>
      </c>
      <c r="F17" s="168" t="s">
        <v>320</v>
      </c>
      <c r="G17" s="159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4"/>
      <c r="E18" s="6">
        <v>1</v>
      </c>
      <c r="F18" s="168" t="s">
        <v>220</v>
      </c>
      <c r="G18" s="159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0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7" t="str">
        <f>'Pricing Worksheet'!F2</f>
        <v>Stock #1 - Blue</v>
      </c>
      <c r="B20" s="122"/>
      <c r="C20" s="13" t="s">
        <v>32</v>
      </c>
      <c r="D20" s="14" t="s">
        <v>318</v>
      </c>
      <c r="E20" s="123">
        <v>1</v>
      </c>
      <c r="F20" s="394" t="s">
        <v>219</v>
      </c>
      <c r="G20" s="395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5"/>
      <c r="E23" s="3">
        <v>1</v>
      </c>
      <c r="F23" s="168" t="s">
        <v>222</v>
      </c>
      <c r="G23" s="159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267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0</v>
      </c>
      <c r="F25" s="373" t="s">
        <v>321</v>
      </c>
      <c r="G25" s="374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0</v>
      </c>
      <c r="F26" s="40" t="s">
        <v>221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287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0</v>
      </c>
      <c r="F28" s="41" t="s">
        <v>313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1" t="s">
        <v>266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223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0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6" t="str">
        <f>'Pricing Worksheet'!F2</f>
        <v>Stock #1 - Blue</v>
      </c>
      <c r="B32" s="125"/>
      <c r="C32" s="13" t="s">
        <v>32</v>
      </c>
      <c r="D32" s="14" t="s">
        <v>318</v>
      </c>
      <c r="E32" s="124">
        <v>1</v>
      </c>
      <c r="F32" s="390" t="s">
        <v>224</v>
      </c>
      <c r="G32" s="391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225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226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227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228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268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372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229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0" t="s">
        <v>371</v>
      </c>
      <c r="G41" s="171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230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4"/>
      <c r="E43" s="6">
        <f>IF('Pricing Worksheet'!C26,1,0)</f>
        <v>1</v>
      </c>
      <c r="F43" s="169" t="s">
        <v>86</v>
      </c>
      <c r="G43" s="159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231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0" t="s">
        <v>300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288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286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289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2" t="s">
        <v>290</v>
      </c>
      <c r="G50" s="43"/>
      <c r="H50" s="48"/>
      <c r="I50" s="1"/>
      <c r="M50" s="1"/>
    </row>
    <row r="51" spans="1:13">
      <c r="A51" s="129" t="str">
        <f>'Pricing Worksheet'!F2</f>
        <v>Stock #1 - Blue</v>
      </c>
      <c r="B51" s="127"/>
      <c r="C51" s="13" t="s">
        <v>32</v>
      </c>
      <c r="D51" s="14" t="s">
        <v>318</v>
      </c>
      <c r="E51" s="128">
        <v>1</v>
      </c>
      <c r="F51" s="402" t="s">
        <v>232</v>
      </c>
      <c r="G51" s="403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233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4"/>
      <c r="E53" s="3">
        <v>1</v>
      </c>
      <c r="F53" s="168" t="s">
        <v>234</v>
      </c>
      <c r="G53" s="159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235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236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0</v>
      </c>
      <c r="F56" s="40" t="s">
        <v>237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364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238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291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40" t="s">
        <v>365</v>
      </c>
      <c r="G61" s="43"/>
      <c r="H61" s="188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307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4"/>
      <c r="E63" s="3">
        <v>1</v>
      </c>
      <c r="F63" s="168" t="s">
        <v>366</v>
      </c>
      <c r="G63" s="159"/>
      <c r="H63" s="48"/>
      <c r="I63" s="1"/>
      <c r="L63" s="8"/>
      <c r="M63" s="1"/>
    </row>
    <row r="64" spans="1:13">
      <c r="A64" s="9"/>
      <c r="B64" s="11" t="s">
        <v>11</v>
      </c>
      <c r="C64" s="3"/>
      <c r="D64" s="174"/>
      <c r="E64" s="3">
        <v>1</v>
      </c>
      <c r="F64" s="168" t="s">
        <v>367</v>
      </c>
      <c r="G64" s="159"/>
      <c r="H64" s="48"/>
      <c r="I64" s="1"/>
      <c r="M64" s="1"/>
    </row>
    <row r="65" spans="1:13">
      <c r="A65" s="9"/>
      <c r="B65" s="11" t="s">
        <v>24</v>
      </c>
      <c r="C65" s="3"/>
      <c r="D65" s="174"/>
      <c r="E65" s="3">
        <f>IF('Pricing Worksheet'!C39,1,0)</f>
        <v>0</v>
      </c>
      <c r="F65" s="168" t="s">
        <v>368</v>
      </c>
      <c r="G65" s="159"/>
      <c r="H65" s="48"/>
      <c r="I65" s="1"/>
      <c r="M65" s="1"/>
    </row>
    <row r="66" spans="1:13">
      <c r="A66" s="9"/>
      <c r="B66" s="11" t="s">
        <v>25</v>
      </c>
      <c r="C66" s="3"/>
      <c r="D66" s="174"/>
      <c r="E66" s="3">
        <f>IF('Pricing Worksheet'!C42,1,0)</f>
        <v>0</v>
      </c>
      <c r="F66" s="168" t="s">
        <v>324</v>
      </c>
      <c r="G66" s="159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369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40" t="s">
        <v>370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0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296</v>
      </c>
      <c r="G71" s="43"/>
      <c r="H71" s="48"/>
      <c r="I71" s="1"/>
      <c r="M71" s="1"/>
    </row>
    <row r="72" spans="1:13">
      <c r="A72" s="130" t="str">
        <f>'Pricing Worksheet'!F2</f>
        <v>Stock #1 - Blue</v>
      </c>
      <c r="B72" s="131"/>
      <c r="C72" s="13" t="s">
        <v>32</v>
      </c>
      <c r="D72" s="14" t="s">
        <v>318</v>
      </c>
      <c r="E72" s="132">
        <v>1</v>
      </c>
      <c r="F72" s="388" t="s">
        <v>239</v>
      </c>
      <c r="G72" s="389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240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339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241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337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242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243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285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3" t="s">
        <v>244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0</v>
      </c>
      <c r="F81" s="113" t="s">
        <v>246</v>
      </c>
      <c r="G81" s="43"/>
      <c r="H81" s="48"/>
      <c r="I81" s="1"/>
      <c r="M81" s="1"/>
    </row>
    <row r="82" spans="1:13">
      <c r="A82" s="133" t="str">
        <f>'Pricing Worksheet'!F2</f>
        <v>Stock #1 - Blue</v>
      </c>
      <c r="B82" s="155"/>
      <c r="C82" s="13" t="s">
        <v>32</v>
      </c>
      <c r="D82" s="14" t="s">
        <v>318</v>
      </c>
      <c r="E82" s="156">
        <v>1</v>
      </c>
      <c r="F82" s="376" t="s">
        <v>245</v>
      </c>
      <c r="G82" s="377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247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6"/>
      <c r="E85" s="6">
        <f>IF('Pricing Worksheet'!C16,1,0)</f>
        <v>0</v>
      </c>
      <c r="F85" s="169" t="s">
        <v>177</v>
      </c>
      <c r="G85" s="159"/>
      <c r="H85" s="48"/>
      <c r="I85" s="1"/>
      <c r="M85" s="1"/>
    </row>
    <row r="86" spans="1:13">
      <c r="A86" s="24"/>
      <c r="B86" s="20" t="s">
        <v>16</v>
      </c>
      <c r="C86" s="21"/>
      <c r="D86" s="176"/>
      <c r="E86" s="6">
        <f>IF('Pricing Worksheet'!C17,1,0)</f>
        <v>1</v>
      </c>
      <c r="F86" s="169" t="s">
        <v>178</v>
      </c>
      <c r="G86" s="159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248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1" t="s">
        <v>315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1" t="s">
        <v>315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301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4" t="str">
        <f>'Pricing Worksheet'!F2</f>
        <v>Stock #1 - Blue</v>
      </c>
      <c r="B92" s="135"/>
      <c r="C92" s="13" t="s">
        <v>32</v>
      </c>
      <c r="D92" s="14" t="s">
        <v>318</v>
      </c>
      <c r="E92" s="136">
        <v>1</v>
      </c>
      <c r="F92" s="400" t="s">
        <v>252</v>
      </c>
      <c r="G92" s="401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269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271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4"/>
      <c r="E95" s="3">
        <f>IF('Pricing Worksheet'!C24,1,0)</f>
        <v>0</v>
      </c>
      <c r="F95" s="168" t="s">
        <v>270</v>
      </c>
      <c r="G95" s="159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1</v>
      </c>
      <c r="F96" s="40" t="s">
        <v>272</v>
      </c>
      <c r="G96" s="43"/>
      <c r="H96" s="48"/>
      <c r="I96" s="1"/>
      <c r="M96" s="1"/>
    </row>
    <row r="97" spans="1:13">
      <c r="A97" s="9"/>
      <c r="B97" s="11" t="s">
        <v>172</v>
      </c>
      <c r="C97" s="3"/>
      <c r="D97" s="3"/>
      <c r="E97" s="3">
        <f>IF('Pricing Worksheet'!C28,1,0)</f>
        <v>0</v>
      </c>
      <c r="F97" s="40" t="s">
        <v>328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273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4"/>
      <c r="E99" s="3">
        <v>1</v>
      </c>
      <c r="F99" s="168" t="s">
        <v>329</v>
      </c>
      <c r="G99" s="159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326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327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274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0</v>
      </c>
      <c r="F103" s="40" t="s">
        <v>317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1</v>
      </c>
      <c r="F104" s="41" t="s">
        <v>275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96" t="s">
        <v>298</v>
      </c>
      <c r="G105" s="397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340</v>
      </c>
      <c r="G106" s="172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338</v>
      </c>
      <c r="G107" s="172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0</v>
      </c>
      <c r="F108" s="40" t="s">
        <v>292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325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314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249</v>
      </c>
      <c r="G111" s="43"/>
      <c r="H111" s="48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Worksheet'!C30,1,0)</f>
        <v>0</v>
      </c>
      <c r="F112" s="40" t="s">
        <v>376</v>
      </c>
      <c r="G112" s="43"/>
      <c r="H112" s="48"/>
      <c r="I112" s="1"/>
      <c r="M112" s="1"/>
    </row>
    <row r="113" spans="1:13">
      <c r="A113" s="137" t="str">
        <f>'Pricing Worksheet'!F2</f>
        <v>Stock #1 - Blue</v>
      </c>
      <c r="B113" s="138"/>
      <c r="C113" s="13" t="s">
        <v>32</v>
      </c>
      <c r="D113" s="14" t="s">
        <v>318</v>
      </c>
      <c r="E113" s="139">
        <v>1</v>
      </c>
      <c r="F113" s="378" t="s">
        <v>277</v>
      </c>
      <c r="G113" s="379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316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250</v>
      </c>
      <c r="G116" s="43"/>
      <c r="H116" s="48"/>
      <c r="I116" s="1"/>
      <c r="M116" s="1"/>
    </row>
    <row r="117" spans="1:13">
      <c r="A117" s="9"/>
      <c r="B117" s="11" t="s">
        <v>135</v>
      </c>
      <c r="C117" s="3"/>
      <c r="D117" s="3"/>
      <c r="E117" s="6">
        <f>IF('Pricing Worksheet'!C21,1,0)</f>
        <v>0</v>
      </c>
      <c r="F117" s="40" t="s">
        <v>136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251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253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5"/>
      <c r="E120" s="6">
        <v>1</v>
      </c>
      <c r="F120" s="169" t="s">
        <v>330</v>
      </c>
      <c r="G120" s="159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254</v>
      </c>
      <c r="G123" s="43"/>
      <c r="H123" s="48"/>
      <c r="I123" s="1"/>
      <c r="M123" s="1"/>
    </row>
    <row r="124" spans="1:13">
      <c r="A124" s="25"/>
      <c r="B124" s="20" t="s">
        <v>171</v>
      </c>
      <c r="C124" s="21"/>
      <c r="D124" s="21"/>
      <c r="E124" s="6">
        <f>IF('Pricing Worksheet'!C44,1,0)</f>
        <v>0</v>
      </c>
      <c r="F124" s="41" t="s">
        <v>299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255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256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199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200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257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4"/>
      <c r="E131" s="3">
        <v>1</v>
      </c>
      <c r="F131" s="168" t="s">
        <v>308</v>
      </c>
      <c r="G131" s="159"/>
      <c r="H131" s="48"/>
      <c r="I131" s="1"/>
      <c r="M131" s="1"/>
    </row>
    <row r="132" spans="1:13">
      <c r="A132" s="9"/>
      <c r="B132" s="11" t="s">
        <v>11</v>
      </c>
      <c r="C132" s="3"/>
      <c r="D132" s="174"/>
      <c r="E132" s="3">
        <v>1</v>
      </c>
      <c r="F132" s="168" t="s">
        <v>373</v>
      </c>
      <c r="G132" s="159"/>
      <c r="H132" s="48"/>
      <c r="I132" s="1"/>
      <c r="M132" s="1"/>
    </row>
    <row r="133" spans="1:13">
      <c r="A133" s="140" t="str">
        <f>'Pricing Worksheet'!F2</f>
        <v>Stock #1 - Blue</v>
      </c>
      <c r="B133" s="141"/>
      <c r="C133" s="13" t="s">
        <v>32</v>
      </c>
      <c r="D133" s="14" t="s">
        <v>318</v>
      </c>
      <c r="E133" s="142">
        <v>1</v>
      </c>
      <c r="F133" s="398" t="s">
        <v>276</v>
      </c>
      <c r="G133" s="399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258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0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0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79"/>
      <c r="E139" s="46">
        <v>1</v>
      </c>
      <c r="F139" s="177" t="s">
        <v>99</v>
      </c>
      <c r="G139" s="178"/>
      <c r="H139" s="48"/>
      <c r="I139" s="1"/>
      <c r="M139" s="1"/>
    </row>
    <row r="140" spans="1:13">
      <c r="A140" s="145" t="str">
        <f>'Pricing Worksheet'!F2</f>
        <v>Stock #1 - Blue</v>
      </c>
      <c r="B140" s="143"/>
      <c r="C140" s="13" t="s">
        <v>32</v>
      </c>
      <c r="D140" s="14" t="s">
        <v>318</v>
      </c>
      <c r="E140" s="144">
        <v>1</v>
      </c>
      <c r="F140" s="392" t="s">
        <v>278</v>
      </c>
      <c r="G140" s="393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3" t="s">
        <v>297</v>
      </c>
      <c r="G141" s="374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293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3" t="s">
        <v>303</v>
      </c>
      <c r="G144" s="374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40" t="s">
        <v>259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198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6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6"/>
      <c r="E150" s="6">
        <v>1</v>
      </c>
      <c r="F150" s="41" t="s">
        <v>263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79"/>
      <c r="E151" s="50">
        <f>IF('Pricing Worksheet'!C37,1,0)</f>
        <v>0</v>
      </c>
      <c r="F151" s="114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4"/>
      <c r="E152" s="6">
        <f>IF('Pricing Worksheet'!C12,1,0)</f>
        <v>0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4"/>
      <c r="E153" s="6">
        <f>IF('Pricing Worksheet'!C33,1,0)</f>
        <v>0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4"/>
      <c r="E154" s="6">
        <f>IF('Pricing Worksheet'!C13,1,0)</f>
        <v>0</v>
      </c>
      <c r="F154" s="160" t="s">
        <v>304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4"/>
      <c r="E155" s="6">
        <f>IF('Pricing Worksheet'!C13,1,0)</f>
        <v>0</v>
      </c>
      <c r="F155" s="160" t="s">
        <v>331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73" t="s">
        <v>305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6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1" t="s">
        <v>302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5"/>
      <c r="E159" s="6">
        <f>IF('Pricing Worksheet'!C18,1,0)</f>
        <v>0</v>
      </c>
      <c r="F159" s="40" t="s">
        <v>262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306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261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0</v>
      </c>
      <c r="F162" s="40" t="s">
        <v>132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0</v>
      </c>
      <c r="F163" s="40" t="s">
        <v>332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0</v>
      </c>
      <c r="F164" s="40" t="s">
        <v>260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6"/>
      <c r="E165" s="6">
        <f>IF('Pricing Worksheet'!C42,1,0)</f>
        <v>0</v>
      </c>
      <c r="F165" s="168" t="s">
        <v>333</v>
      </c>
      <c r="G165" s="159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131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8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19" t="s">
        <v>100</v>
      </c>
      <c r="B170" s="52"/>
      <c r="C170" s="52"/>
      <c r="D170" s="52"/>
      <c r="E170" s="52"/>
      <c r="F170" s="52"/>
      <c r="G170" s="52"/>
      <c r="H170" s="118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375" t="s">
        <v>101</v>
      </c>
      <c r="B172" s="375"/>
      <c r="C172" s="375"/>
      <c r="D172" s="375"/>
      <c r="E172" s="375"/>
      <c r="F172" s="375"/>
      <c r="G172" s="375"/>
      <c r="H172" s="118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1" t="s">
        <v>88</v>
      </c>
      <c r="B174" s="162"/>
      <c r="C174" s="163"/>
      <c r="D174" s="164"/>
      <c r="E174" s="165"/>
      <c r="F174" s="166" t="s">
        <v>104</v>
      </c>
      <c r="G174" s="31"/>
      <c r="H174" s="118"/>
    </row>
    <row r="175" spans="1:13" ht="35" customHeight="1">
      <c r="A175" s="364" t="s">
        <v>334</v>
      </c>
      <c r="B175" s="365"/>
      <c r="C175" s="365"/>
      <c r="D175" s="365"/>
      <c r="E175" s="366"/>
      <c r="F175" s="166"/>
      <c r="G175" s="31"/>
    </row>
    <row r="176" spans="1:13" ht="30">
      <c r="A176" s="367"/>
      <c r="B176" s="368"/>
      <c r="C176" s="368"/>
      <c r="D176" s="368"/>
      <c r="E176" s="369"/>
      <c r="F176" s="166"/>
      <c r="G176" s="31"/>
    </row>
    <row r="177" spans="1:13" ht="31" thickBot="1">
      <c r="A177" s="370"/>
      <c r="B177" s="371"/>
      <c r="C177" s="371"/>
      <c r="D177" s="371"/>
      <c r="E177" s="372"/>
      <c r="F177" s="166"/>
      <c r="G177" s="31"/>
    </row>
    <row r="178" spans="1:13">
      <c r="A178" s="167"/>
      <c r="B178" s="167"/>
      <c r="C178" s="167"/>
      <c r="D178" s="167"/>
      <c r="E178" s="167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B1" zoomScale="60" zoomScaleNormal="100" workbookViewId="0">
      <selection activeCell="U9" sqref="U9:Y9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0"/>
      <c r="B1" s="427" t="str">
        <f>'Pricing Worksheet'!F2</f>
        <v>Stock #1 - Blue</v>
      </c>
      <c r="C1" s="427"/>
      <c r="D1" s="427"/>
      <c r="E1" s="427"/>
      <c r="F1" s="427"/>
      <c r="G1" s="428"/>
      <c r="H1" s="448">
        <f>'Pricing Worksheet'!I6</f>
        <v>0</v>
      </c>
      <c r="I1" s="449"/>
      <c r="J1" s="449"/>
      <c r="K1" s="449"/>
      <c r="L1" s="201" t="s">
        <v>311</v>
      </c>
      <c r="M1" s="185"/>
      <c r="N1" s="185"/>
      <c r="O1" s="449">
        <f>'Build Sheet'!G2</f>
        <v>0</v>
      </c>
      <c r="P1" s="449"/>
      <c r="Q1" s="224" t="s">
        <v>310</v>
      </c>
      <c r="R1" s="185"/>
      <c r="S1" s="185"/>
      <c r="T1" s="185"/>
      <c r="U1" s="185"/>
      <c r="V1" s="185"/>
      <c r="W1" s="185"/>
      <c r="X1" s="185"/>
      <c r="Y1" s="185"/>
      <c r="Z1" s="202"/>
    </row>
    <row r="2" spans="1:26" s="5" customFormat="1" ht="43" customHeight="1" thickBot="1">
      <c r="A2" s="203"/>
      <c r="B2" s="429"/>
      <c r="C2" s="429"/>
      <c r="D2" s="429"/>
      <c r="E2" s="429"/>
      <c r="F2" s="429"/>
      <c r="G2" s="430"/>
      <c r="H2" s="453" t="s">
        <v>215</v>
      </c>
      <c r="I2" s="454"/>
      <c r="J2" s="444" t="s">
        <v>219</v>
      </c>
      <c r="K2" s="444"/>
      <c r="L2" s="439" t="s">
        <v>280</v>
      </c>
      <c r="M2" s="439"/>
      <c r="N2" s="440" t="s">
        <v>281</v>
      </c>
      <c r="O2" s="441"/>
      <c r="P2" s="442" t="s">
        <v>239</v>
      </c>
      <c r="Q2" s="442"/>
      <c r="R2" s="443" t="s">
        <v>245</v>
      </c>
      <c r="S2" s="443"/>
      <c r="T2" s="451" t="s">
        <v>282</v>
      </c>
      <c r="U2" s="451"/>
      <c r="V2" s="452" t="s">
        <v>283</v>
      </c>
      <c r="W2" s="452"/>
      <c r="X2" s="450" t="s">
        <v>284</v>
      </c>
      <c r="Y2" s="450"/>
      <c r="Z2" s="204"/>
    </row>
    <row r="3" spans="1:26" ht="113" customHeight="1" thickBot="1">
      <c r="A3" s="205" t="s">
        <v>23</v>
      </c>
      <c r="B3" s="211">
        <f>IF('Pricing Worksheet'!C36,1,0)</f>
        <v>1</v>
      </c>
      <c r="C3" s="458" t="str">
        <f>IF(B3=1,"Aluminum","")</f>
        <v>Aluminum</v>
      </c>
      <c r="D3" s="459"/>
      <c r="E3" s="459"/>
      <c r="F3" s="459"/>
      <c r="G3" s="460"/>
      <c r="H3" s="215">
        <f>IF('Pricing Worksheet'!C25,1,0)</f>
        <v>0</v>
      </c>
      <c r="I3" s="433" t="str">
        <f>IF(H3=1,"Mood Lighting","")</f>
        <v/>
      </c>
      <c r="J3" s="434"/>
      <c r="K3" s="434"/>
      <c r="L3" s="434"/>
      <c r="M3" s="435"/>
      <c r="N3" s="213">
        <f>IF('Pricing Worksheet'!C32,1,0)</f>
        <v>0</v>
      </c>
      <c r="O3" s="447" t="str">
        <f>IF(N3=1,"AC","")</f>
        <v/>
      </c>
      <c r="P3" s="447"/>
      <c r="Q3" s="447"/>
      <c r="R3" s="447"/>
      <c r="S3" s="447"/>
      <c r="T3" s="211">
        <f>IF('Pricing Worksheet'!C46,1,0)</f>
        <v>0</v>
      </c>
      <c r="U3" s="436" t="str">
        <f>IF(T3=1,"Tongue Box","")</f>
        <v/>
      </c>
      <c r="V3" s="437"/>
      <c r="W3" s="437"/>
      <c r="X3" s="437"/>
      <c r="Y3" s="438"/>
      <c r="Z3" s="206"/>
    </row>
    <row r="4" spans="1:26" ht="113" customHeight="1" thickBot="1">
      <c r="A4" s="205"/>
      <c r="B4" s="205">
        <f>IF('Pricing Worksheet'!C37,1,0)</f>
        <v>0</v>
      </c>
      <c r="C4" s="411" t="str">
        <f>IF(B4=1,"E-Brakes","")</f>
        <v/>
      </c>
      <c r="D4" s="412"/>
      <c r="E4" s="412"/>
      <c r="F4" s="412"/>
      <c r="G4" s="413"/>
      <c r="H4" s="216">
        <f>IF('Pricing Worksheet'!C33,1,0)</f>
        <v>0</v>
      </c>
      <c r="I4" s="411" t="str">
        <f>IF(H4=1,"Furnace","")</f>
        <v/>
      </c>
      <c r="J4" s="412"/>
      <c r="K4" s="412"/>
      <c r="L4" s="412"/>
      <c r="M4" s="413"/>
      <c r="N4" s="214">
        <f>IF('Pricing Worksheet'!C26,1,0)</f>
        <v>1</v>
      </c>
      <c r="O4" s="431" t="str">
        <f>IF(N4=1,"Overhead Light","")</f>
        <v>Overhead Light</v>
      </c>
      <c r="P4" s="431"/>
      <c r="Q4" s="431"/>
      <c r="R4" s="431"/>
      <c r="S4" s="431"/>
      <c r="T4" s="205">
        <f>IF('Pricing Worksheet'!C49,1,0)</f>
        <v>0</v>
      </c>
      <c r="U4" s="411" t="str">
        <f>IF(T4=1,"Starter Kit","")</f>
        <v/>
      </c>
      <c r="V4" s="412"/>
      <c r="W4" s="412"/>
      <c r="X4" s="412"/>
      <c r="Y4" s="413"/>
      <c r="Z4" s="206"/>
    </row>
    <row r="5" spans="1:26" ht="113" customHeight="1" thickBot="1">
      <c r="A5" s="207"/>
      <c r="B5" s="205">
        <f>IF('Pricing Worksheet'!C13,1,0)</f>
        <v>0</v>
      </c>
      <c r="C5" s="411" t="str">
        <f>IF(B5=1,"Propane","")</f>
        <v/>
      </c>
      <c r="D5" s="412"/>
      <c r="E5" s="412"/>
      <c r="F5" s="412"/>
      <c r="G5" s="413"/>
      <c r="H5" s="216">
        <f>IF('Pricing Worksheet'!C20,1,0)</f>
        <v>1</v>
      </c>
      <c r="I5" s="411" t="str">
        <f>IF(H5=1,"Galley Light","")</f>
        <v>Galley Light</v>
      </c>
      <c r="J5" s="412"/>
      <c r="K5" s="412"/>
      <c r="L5" s="412"/>
      <c r="M5" s="413"/>
      <c r="N5" s="214">
        <f>IF('Pricing Worksheet'!C28,1,0)</f>
        <v>0</v>
      </c>
      <c r="O5" s="432" t="str">
        <f>IF(N5=1,"Blackout Shade","")</f>
        <v/>
      </c>
      <c r="P5" s="432"/>
      <c r="Q5" s="432"/>
      <c r="R5" s="432"/>
      <c r="S5" s="432"/>
      <c r="T5" s="205">
        <f>IF('Pricing Worksheet'!C50,1,0)</f>
        <v>0</v>
      </c>
      <c r="U5" s="411" t="str">
        <f>IF(T5=1,"Vb Cover","")</f>
        <v/>
      </c>
      <c r="V5" s="412"/>
      <c r="W5" s="412"/>
      <c r="X5" s="412"/>
      <c r="Y5" s="413"/>
      <c r="Z5" s="206"/>
    </row>
    <row r="6" spans="1:26" ht="113" customHeight="1" thickBot="1">
      <c r="A6" s="207" t="s">
        <v>21</v>
      </c>
      <c r="B6" s="205">
        <f>IF('Pricing Worksheet'!C12,1,0)</f>
        <v>0</v>
      </c>
      <c r="C6" s="411" t="str">
        <f>IF(B6=1,"Stovetop","")</f>
        <v/>
      </c>
      <c r="D6" s="412"/>
      <c r="E6" s="412"/>
      <c r="F6" s="412"/>
      <c r="G6" s="413"/>
      <c r="H6" s="216">
        <f>IF('Pricing Worksheet'!C24,1,0)</f>
        <v>0</v>
      </c>
      <c r="I6" s="411" t="str">
        <f>IF(H6=1,"Stargazer","")</f>
        <v/>
      </c>
      <c r="J6" s="412"/>
      <c r="K6" s="412"/>
      <c r="L6" s="412"/>
      <c r="M6" s="413"/>
      <c r="N6" s="214">
        <f>IF('Pricing Worksheet'!C29,1,0)</f>
        <v>0</v>
      </c>
      <c r="O6" s="423" t="str">
        <f>IF(N6=1,"Froli","")</f>
        <v/>
      </c>
      <c r="P6" s="423"/>
      <c r="Q6" s="423"/>
      <c r="R6" s="423"/>
      <c r="S6" s="423"/>
      <c r="T6" s="205">
        <f>IF('Pricing Worksheet'!C51,1,0)</f>
        <v>0</v>
      </c>
      <c r="U6" s="411" t="str">
        <f>IF(T6=1,"Zamp Solar","")</f>
        <v/>
      </c>
      <c r="V6" s="412"/>
      <c r="W6" s="412"/>
      <c r="X6" s="412"/>
      <c r="Y6" s="413"/>
      <c r="Z6" s="206"/>
    </row>
    <row r="7" spans="1:26" ht="113" customHeight="1" thickBot="1">
      <c r="A7" s="205" t="s">
        <v>13</v>
      </c>
      <c r="B7" s="205">
        <f>IF('Pricing Worksheet'!C14,1,0)</f>
        <v>1</v>
      </c>
      <c r="C7" s="411" t="str">
        <f>IF(B7=1,"Fresh Water","")</f>
        <v>Fresh Water</v>
      </c>
      <c r="D7" s="412"/>
      <c r="E7" s="412"/>
      <c r="F7" s="412"/>
      <c r="G7" s="413"/>
      <c r="H7" s="216">
        <f>IF('Pricing Worksheet'!C27,1,0)</f>
        <v>0</v>
      </c>
      <c r="I7" s="411" t="str">
        <f>IF(H7=1,"Front Bin","")</f>
        <v/>
      </c>
      <c r="J7" s="412"/>
      <c r="K7" s="412"/>
      <c r="L7" s="412"/>
      <c r="M7" s="413"/>
      <c r="N7" s="214">
        <f>IF('Pricing Worksheet'!C30,1,0)</f>
        <v>0</v>
      </c>
      <c r="O7" s="410" t="str">
        <f>IF(N7=1,"Split Bed","")</f>
        <v/>
      </c>
      <c r="P7" s="410"/>
      <c r="Q7" s="410"/>
      <c r="R7" s="410"/>
      <c r="S7" s="410"/>
      <c r="T7" s="205">
        <f>IF('Pricing Worksheet'!C52,1,0)</f>
        <v>1</v>
      </c>
      <c r="U7" s="411" t="str">
        <f>IF(T7=1,"H2O Filler","")</f>
        <v>H2O Filler</v>
      </c>
      <c r="V7" s="412"/>
      <c r="W7" s="412"/>
      <c r="X7" s="412"/>
      <c r="Y7" s="413"/>
      <c r="Z7" s="206"/>
    </row>
    <row r="8" spans="1:26" ht="113" customHeight="1" thickBot="1">
      <c r="A8" s="205"/>
      <c r="B8" s="205">
        <f>IF('Pricing Worksheet'!C15,1,0)</f>
        <v>1</v>
      </c>
      <c r="C8" s="411" t="str">
        <f>IF(B8=1,"Gray Water","")</f>
        <v>Gray Water</v>
      </c>
      <c r="D8" s="412"/>
      <c r="E8" s="412"/>
      <c r="F8" s="412"/>
      <c r="G8" s="413"/>
      <c r="H8" s="216">
        <f>IF('Pricing Worksheet'!C35,1,0)</f>
        <v>1</v>
      </c>
      <c r="I8" s="420" t="str">
        <f>IF(H8=1,CONCATENATE("Skin - ",'Pricing Worksheet'!I35),"")</f>
        <v>Skin - Blue</v>
      </c>
      <c r="J8" s="421"/>
      <c r="K8" s="421"/>
      <c r="L8" s="421"/>
      <c r="M8" s="422"/>
      <c r="N8" s="214">
        <f>IF('Pricing Worksheet'!C19,1,0)</f>
        <v>1</v>
      </c>
      <c r="O8" s="461" t="str">
        <f>IF(N8=1,CONCATENATE("Bat Wings - ",'Pricing Worksheet'!I19),"")</f>
        <v>Bat Wings - Undecided</v>
      </c>
      <c r="P8" s="461"/>
      <c r="Q8" s="461"/>
      <c r="R8" s="461"/>
      <c r="S8" s="461"/>
      <c r="T8" s="205">
        <f>IF('Pricing Worksheet'!C53,1,0)</f>
        <v>1</v>
      </c>
      <c r="U8" s="411" t="str">
        <f>IF(T8=1,"Water Filter","")</f>
        <v>Water Filter</v>
      </c>
      <c r="V8" s="412"/>
      <c r="W8" s="412"/>
      <c r="X8" s="412"/>
      <c r="Y8" s="413"/>
      <c r="Z8" s="206"/>
    </row>
    <row r="9" spans="1:26" ht="113" customHeight="1" thickBot="1">
      <c r="A9" s="205" t="s">
        <v>14</v>
      </c>
      <c r="B9" s="212">
        <f>IF('Pricing Worksheet'!C38,1,0)</f>
        <v>0</v>
      </c>
      <c r="C9" s="417" t="str">
        <f>IF(B9=1,"Ark Upgrade","")</f>
        <v/>
      </c>
      <c r="D9" s="418"/>
      <c r="E9" s="418"/>
      <c r="F9" s="418"/>
      <c r="G9" s="419"/>
      <c r="H9" s="216">
        <f>IF('Pricing Worksheet'!C42,1,0)</f>
        <v>0</v>
      </c>
      <c r="I9" s="455" t="str">
        <f>IF(H9=1,"Rooftop Solar","")</f>
        <v/>
      </c>
      <c r="J9" s="456"/>
      <c r="K9" s="456"/>
      <c r="L9" s="456"/>
      <c r="M9" s="457"/>
      <c r="N9" s="214">
        <f>IF('Pricing Worksheet'!C21,1,0)</f>
        <v>0</v>
      </c>
      <c r="O9" s="410" t="str">
        <f>IF(N9=1,"Hatch Bag","")</f>
        <v/>
      </c>
      <c r="P9" s="410"/>
      <c r="Q9" s="410"/>
      <c r="R9" s="410"/>
      <c r="S9" s="410"/>
      <c r="T9" s="205">
        <f>IF('Pricing Worksheet'!C54,1,0)</f>
        <v>1</v>
      </c>
      <c r="U9" s="411" t="str">
        <f>IF(T9=1,"Pressure Reg","")</f>
        <v>Pressure Reg</v>
      </c>
      <c r="V9" s="412"/>
      <c r="W9" s="412"/>
      <c r="X9" s="412"/>
      <c r="Y9" s="413"/>
      <c r="Z9" s="206"/>
    </row>
    <row r="10" spans="1:26" ht="113" customHeight="1" thickBot="1">
      <c r="A10" s="205" t="s">
        <v>18</v>
      </c>
      <c r="B10" s="205">
        <f>IF('Pricing Worksheet'!C40,1,0)</f>
        <v>0</v>
      </c>
      <c r="C10" s="411" t="str">
        <f>IF(B10=1,"Lithium","")</f>
        <v/>
      </c>
      <c r="D10" s="412"/>
      <c r="E10" s="412"/>
      <c r="F10" s="412"/>
      <c r="G10" s="413"/>
      <c r="H10" s="216">
        <f>IF('Pricing Worksheet'!C16,1,0)</f>
        <v>0</v>
      </c>
      <c r="I10" s="411" t="str">
        <f>IF(H10=1,"6 Drawer","")</f>
        <v/>
      </c>
      <c r="J10" s="412"/>
      <c r="K10" s="412"/>
      <c r="L10" s="412"/>
      <c r="M10" s="413"/>
      <c r="N10" s="214">
        <f>IF('Pricing Worksheet'!C39,1,0)</f>
        <v>0</v>
      </c>
      <c r="O10" s="410" t="str">
        <f>IF(N10=1,"3M","")</f>
        <v/>
      </c>
      <c r="P10" s="410"/>
      <c r="Q10" s="410"/>
      <c r="R10" s="410"/>
      <c r="S10" s="410"/>
      <c r="T10" s="205">
        <v>1</v>
      </c>
      <c r="U10" s="411" t="s">
        <v>264</v>
      </c>
      <c r="V10" s="445"/>
      <c r="W10" s="445"/>
      <c r="X10" s="445"/>
      <c r="Y10" s="446"/>
      <c r="Z10" s="206"/>
    </row>
    <row r="11" spans="1:26" ht="113" customHeight="1" thickBot="1">
      <c r="A11" s="208"/>
      <c r="B11" s="205">
        <f>IF('Pricing Worksheet'!C37,1,0)</f>
        <v>0</v>
      </c>
      <c r="C11" s="411" t="str">
        <f>IF(B11=1,"Autowbrake","")</f>
        <v/>
      </c>
      <c r="D11" s="412"/>
      <c r="E11" s="412"/>
      <c r="F11" s="412"/>
      <c r="G11" s="413"/>
      <c r="H11" s="216">
        <f>IF('Pricing Worksheet'!C17,1,0)</f>
        <v>1</v>
      </c>
      <c r="I11" s="411" t="str">
        <f>IF(H11=1,"Pull and ROC","")</f>
        <v>Pull and ROC</v>
      </c>
      <c r="J11" s="412"/>
      <c r="K11" s="412"/>
      <c r="L11" s="412"/>
      <c r="M11" s="413"/>
      <c r="N11" s="214">
        <f>IF('Pricing Worksheet'!C44,1,0)</f>
        <v>0</v>
      </c>
      <c r="O11" s="410" t="str">
        <f>IF(N11=1,CONCATENATE("Awning/",'Pricing Worksheet'!I44),"")</f>
        <v/>
      </c>
      <c r="P11" s="410"/>
      <c r="Q11" s="410"/>
      <c r="R11" s="410"/>
      <c r="S11" s="410"/>
      <c r="T11" s="205">
        <v>1</v>
      </c>
      <c r="U11" s="414"/>
      <c r="V11" s="415"/>
      <c r="W11" s="415"/>
      <c r="X11" s="415"/>
      <c r="Y11" s="416"/>
      <c r="Z11" s="206"/>
    </row>
    <row r="12" spans="1:26" ht="113" customHeight="1" thickBot="1">
      <c r="A12" s="209"/>
      <c r="B12" s="207">
        <f>IF('Pricing Worksheet'!C43,1,0)</f>
        <v>0</v>
      </c>
      <c r="C12" s="404" t="str">
        <f>IF(B12,"DC-DC Charger","")</f>
        <v/>
      </c>
      <c r="D12" s="405"/>
      <c r="E12" s="405"/>
      <c r="F12" s="405"/>
      <c r="G12" s="406"/>
      <c r="H12" s="226">
        <f>IF('Pricing Worksheet'!C18,1,0)</f>
        <v>0</v>
      </c>
      <c r="I12" s="407" t="str">
        <f>IF(H12=1,"Cooler","")</f>
        <v/>
      </c>
      <c r="J12" s="408"/>
      <c r="K12" s="408"/>
      <c r="L12" s="408"/>
      <c r="M12" s="409"/>
      <c r="N12" s="217">
        <f>IF('Pricing Worksheet'!C46,1,0)</f>
        <v>0</v>
      </c>
      <c r="O12" s="410" t="str">
        <f>IF(N12=1,"Bike Rack","")</f>
        <v/>
      </c>
      <c r="P12" s="410"/>
      <c r="Q12" s="410"/>
      <c r="R12" s="410"/>
      <c r="S12" s="410"/>
      <c r="T12" s="207">
        <v>1</v>
      </c>
      <c r="U12" s="424"/>
      <c r="V12" s="425"/>
      <c r="W12" s="425"/>
      <c r="X12" s="425"/>
      <c r="Y12" s="426"/>
      <c r="Z12" s="210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2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1"/>
    </row>
    <row r="22" spans="1:12" ht="100" customHeight="1">
      <c r="A22" s="101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2" priority="43">
      <formula>$C$3&lt;&gt;""</formula>
    </cfRule>
  </conditionalFormatting>
  <conditionalFormatting sqref="C4:G4">
    <cfRule type="expression" dxfId="21" priority="42">
      <formula>$C$4&lt;&gt;""</formula>
    </cfRule>
  </conditionalFormatting>
  <conditionalFormatting sqref="C5:G5">
    <cfRule type="expression" dxfId="20" priority="41">
      <formula>$C$5&lt;&gt;""</formula>
    </cfRule>
  </conditionalFormatting>
  <conditionalFormatting sqref="C6:G6">
    <cfRule type="expression" dxfId="19" priority="40">
      <formula>$C$6&lt;&gt;""</formula>
    </cfRule>
  </conditionalFormatting>
  <conditionalFormatting sqref="C7:G7">
    <cfRule type="expression" dxfId="18" priority="39">
      <formula>$C$7&lt;&gt;""</formula>
    </cfRule>
  </conditionalFormatting>
  <conditionalFormatting sqref="C8:G8">
    <cfRule type="expression" dxfId="17" priority="38">
      <formula>$C$8&lt;&gt;""</formula>
    </cfRule>
  </conditionalFormatting>
  <conditionalFormatting sqref="C9:G9">
    <cfRule type="expression" dxfId="16" priority="37">
      <formula>$C$9&lt;&gt;""</formula>
    </cfRule>
  </conditionalFormatting>
  <conditionalFormatting sqref="C10:G10">
    <cfRule type="expression" dxfId="15" priority="36">
      <formula>$C$10&lt;&gt;""</formula>
    </cfRule>
  </conditionalFormatting>
  <conditionalFormatting sqref="C11:G11">
    <cfRule type="expression" dxfId="14" priority="35">
      <formula>$C$11&lt;&gt;""</formula>
    </cfRule>
  </conditionalFormatting>
  <conditionalFormatting sqref="C12:G12">
    <cfRule type="expression" dxfId="13" priority="34">
      <formula>$C$12&lt;&gt;""</formula>
    </cfRule>
  </conditionalFormatting>
  <conditionalFormatting sqref="I3:M3">
    <cfRule type="expression" dxfId="12" priority="31">
      <formula>I3&lt;&gt;""</formula>
    </cfRule>
  </conditionalFormatting>
  <conditionalFormatting sqref="I4:M4">
    <cfRule type="expression" dxfId="11" priority="32">
      <formula>$I$4&lt;&gt;""</formula>
    </cfRule>
  </conditionalFormatting>
  <conditionalFormatting sqref="I5:M5">
    <cfRule type="expression" dxfId="10" priority="30">
      <formula>$I$5&lt;&gt;""</formula>
    </cfRule>
  </conditionalFormatting>
  <conditionalFormatting sqref="I6:M6">
    <cfRule type="expression" dxfId="9" priority="28">
      <formula>I6&lt;&gt;""</formula>
    </cfRule>
  </conditionalFormatting>
  <conditionalFormatting sqref="I7:M7">
    <cfRule type="expression" dxfId="8" priority="27">
      <formula>$I$7&lt;&gt;""</formula>
    </cfRule>
  </conditionalFormatting>
  <conditionalFormatting sqref="I8:M8">
    <cfRule type="expression" dxfId="7" priority="26">
      <formula>I8&lt;&gt;""</formula>
    </cfRule>
  </conditionalFormatting>
  <conditionalFormatting sqref="I9:M9">
    <cfRule type="expression" dxfId="6" priority="25">
      <formula>I9&lt;&gt;""</formula>
    </cfRule>
  </conditionalFormatting>
  <conditionalFormatting sqref="I10:M12">
    <cfRule type="expression" dxfId="5" priority="21">
      <formula>I10&lt;&gt;""</formula>
    </cfRule>
  </conditionalFormatting>
  <conditionalFormatting sqref="O3:S7">
    <cfRule type="expression" dxfId="4" priority="15">
      <formula>O3&lt;&gt;""</formula>
    </cfRule>
  </conditionalFormatting>
  <conditionalFormatting sqref="O8:S12">
    <cfRule type="expression" dxfId="3" priority="10">
      <formula>O8&lt;&gt;""</formula>
    </cfRule>
  </conditionalFormatting>
  <conditionalFormatting sqref="U3:Y3">
    <cfRule type="expression" dxfId="2" priority="9">
      <formula>U3&lt;&gt;""</formula>
    </cfRule>
  </conditionalFormatting>
  <conditionalFormatting sqref="U4:Y4">
    <cfRule type="expression" dxfId="1" priority="7">
      <formula>U4&lt;&gt;""</formula>
    </cfRule>
  </conditionalFormatting>
  <conditionalFormatting sqref="U5:Y9">
    <cfRule type="expression" dxfId="0" priority="1">
      <formula>O5&lt;&gt;""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zoomScale="125" zoomScaleNormal="125" workbookViewId="0">
      <selection activeCell="E4" sqref="E4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1"/>
      <c r="B1" s="246" t="s">
        <v>466</v>
      </c>
      <c r="C1" s="272"/>
      <c r="D1" s="246"/>
      <c r="E1" s="272"/>
      <c r="F1" s="246"/>
      <c r="G1" s="271"/>
      <c r="H1" s="271"/>
    </row>
    <row r="2" spans="1:10" ht="34">
      <c r="A2" s="269"/>
      <c r="B2" s="270" t="str">
        <f>'Pricing Worksheet'!F2</f>
        <v>Stock #1 - Blue</v>
      </c>
      <c r="C2" s="273" t="s">
        <v>378</v>
      </c>
      <c r="D2" s="243">
        <f>'Build Sheet'!G2</f>
        <v>0</v>
      </c>
      <c r="E2" s="243">
        <f>'Pricing Worksheet'!I6</f>
        <v>0</v>
      </c>
      <c r="F2" s="243"/>
      <c r="G2" s="269"/>
      <c r="H2" s="268" t="s">
        <v>465</v>
      </c>
    </row>
    <row r="3" spans="1:10" ht="36" customHeight="1">
      <c r="A3" s="229"/>
      <c r="B3" s="240" t="s">
        <v>394</v>
      </c>
      <c r="C3" s="240" t="s">
        <v>393</v>
      </c>
      <c r="D3" s="240" t="s">
        <v>392</v>
      </c>
      <c r="E3" s="240" t="s">
        <v>391</v>
      </c>
      <c r="F3" s="240" t="s">
        <v>390</v>
      </c>
      <c r="G3" s="240" t="s">
        <v>389</v>
      </c>
      <c r="H3" s="240" t="s">
        <v>388</v>
      </c>
    </row>
    <row r="4" spans="1:10" ht="26" customHeight="1">
      <c r="A4" s="252" t="s">
        <v>410</v>
      </c>
      <c r="B4" s="267" t="s">
        <v>464</v>
      </c>
      <c r="C4" s="231">
        <v>1</v>
      </c>
      <c r="D4" s="231"/>
      <c r="E4" s="232"/>
      <c r="F4" s="231"/>
      <c r="G4" s="231"/>
      <c r="H4" s="235"/>
    </row>
    <row r="5" spans="1:10" ht="26" customHeight="1">
      <c r="A5" s="252" t="s">
        <v>410</v>
      </c>
      <c r="B5" s="267" t="s">
        <v>463</v>
      </c>
      <c r="C5" s="231">
        <v>1</v>
      </c>
      <c r="D5" s="231"/>
      <c r="E5" s="232">
        <f>E4</f>
        <v>0</v>
      </c>
      <c r="F5" s="231"/>
      <c r="G5" s="231"/>
      <c r="H5" s="235"/>
    </row>
    <row r="6" spans="1:10" ht="26" customHeight="1">
      <c r="A6" s="252" t="s">
        <v>410</v>
      </c>
      <c r="B6" s="233" t="s">
        <v>462</v>
      </c>
      <c r="C6" s="231" t="s">
        <v>404</v>
      </c>
      <c r="D6" s="231"/>
      <c r="E6" s="232">
        <f>E4</f>
        <v>0</v>
      </c>
      <c r="F6" s="231"/>
      <c r="G6" s="231"/>
      <c r="H6" s="231"/>
    </row>
    <row r="7" spans="1:10" ht="26" customHeight="1">
      <c r="A7" s="251" t="s">
        <v>381</v>
      </c>
      <c r="B7" s="233" t="s">
        <v>461</v>
      </c>
      <c r="C7" s="231" t="s">
        <v>404</v>
      </c>
      <c r="D7" s="235"/>
      <c r="E7" s="232">
        <f>E4</f>
        <v>0</v>
      </c>
      <c r="F7" s="235"/>
      <c r="G7" s="231"/>
      <c r="H7" s="231" t="str">
        <f>'Pricing Worksheet'!I35</f>
        <v>Blue</v>
      </c>
    </row>
    <row r="8" spans="1:10" ht="25" customHeight="1">
      <c r="A8" s="251" t="s">
        <v>381</v>
      </c>
      <c r="B8" s="233" t="s">
        <v>460</v>
      </c>
      <c r="C8" s="231">
        <v>1</v>
      </c>
      <c r="D8" s="231"/>
      <c r="E8" s="232">
        <f>E4</f>
        <v>0</v>
      </c>
      <c r="F8" s="231"/>
      <c r="G8" s="231"/>
      <c r="H8" s="231" t="str">
        <f>'Pricing Worksheet'!I35</f>
        <v>Blue</v>
      </c>
      <c r="I8">
        <f>IF('[2]Pricing Worksheet'!C39,1,0)</f>
        <v>0</v>
      </c>
      <c r="J8" t="s">
        <v>459</v>
      </c>
    </row>
    <row r="9" spans="1:10" ht="26" customHeight="1">
      <c r="A9" s="250" t="s">
        <v>406</v>
      </c>
      <c r="B9" s="233" t="s">
        <v>458</v>
      </c>
      <c r="C9" s="231" t="s">
        <v>404</v>
      </c>
      <c r="D9" s="235"/>
      <c r="E9" s="232">
        <f>E4</f>
        <v>0</v>
      </c>
      <c r="F9" s="235"/>
      <c r="G9" s="231"/>
      <c r="H9" s="231">
        <f>IF('Pricing Worksheet'!C42,"yes",0)</f>
        <v>0</v>
      </c>
    </row>
    <row r="10" spans="1:10" ht="25" customHeight="1">
      <c r="A10" s="266" t="s">
        <v>400</v>
      </c>
      <c r="B10" s="233" t="s">
        <v>457</v>
      </c>
      <c r="C10" s="231">
        <v>1</v>
      </c>
      <c r="D10" s="231"/>
      <c r="E10" s="232">
        <f>E4</f>
        <v>0</v>
      </c>
      <c r="F10" s="231"/>
      <c r="G10" s="231"/>
      <c r="H10" s="231" t="str">
        <f>'Pricing Worksheet'!I22</f>
        <v>Undecided</v>
      </c>
    </row>
    <row r="11" spans="1:10" ht="25" customHeight="1">
      <c r="A11" s="266" t="s">
        <v>400</v>
      </c>
      <c r="B11" s="233" t="s">
        <v>456</v>
      </c>
      <c r="C11" s="231" t="s">
        <v>453</v>
      </c>
      <c r="D11" s="231"/>
      <c r="E11" s="232">
        <f>E4</f>
        <v>0</v>
      </c>
      <c r="F11" s="231"/>
      <c r="G11" s="231"/>
      <c r="H11" s="231">
        <f>IF('Pricing Worksheet'!C27,1,0)</f>
        <v>0</v>
      </c>
      <c r="I11" t="s">
        <v>455</v>
      </c>
    </row>
    <row r="12" spans="1:10" ht="27" customHeight="1">
      <c r="A12" s="266" t="s">
        <v>400</v>
      </c>
      <c r="B12" s="233" t="s">
        <v>454</v>
      </c>
      <c r="C12" s="231" t="s">
        <v>453</v>
      </c>
      <c r="D12" s="231"/>
      <c r="E12" s="232">
        <f>E4</f>
        <v>0</v>
      </c>
      <c r="F12" s="231"/>
      <c r="G12" s="231"/>
      <c r="H12" s="231" t="str">
        <f>'Pricing Worksheet'!I19</f>
        <v>Undecided</v>
      </c>
    </row>
    <row r="13" spans="1:10" ht="92" customHeight="1">
      <c r="A13" s="242"/>
      <c r="B13" s="229"/>
      <c r="C13" s="227"/>
      <c r="D13" s="227"/>
      <c r="E13" s="227"/>
      <c r="F13" s="227"/>
      <c r="G13" s="227"/>
      <c r="H13" s="227"/>
    </row>
    <row r="14" spans="1:10" ht="34">
      <c r="A14" s="242"/>
      <c r="B14" s="246" t="s">
        <v>452</v>
      </c>
      <c r="C14" s="245"/>
      <c r="D14" s="245"/>
      <c r="E14" s="245"/>
      <c r="F14" s="245"/>
      <c r="G14" s="245"/>
      <c r="H14" s="242"/>
    </row>
    <row r="15" spans="1:10" ht="37">
      <c r="A15" s="242"/>
      <c r="B15" s="244" t="s">
        <v>378</v>
      </c>
      <c r="C15" s="244">
        <f>'[2]Build Sheet'!G2</f>
        <v>0</v>
      </c>
      <c r="D15" s="243">
        <f>'[2]Pricing Worksheet'!F2</f>
        <v>0</v>
      </c>
      <c r="E15" s="243">
        <f>'[2]Pricing Worksheet'!I6</f>
        <v>0</v>
      </c>
      <c r="F15" s="243"/>
      <c r="G15" s="242"/>
      <c r="H15" s="242" t="s">
        <v>451</v>
      </c>
    </row>
    <row r="16" spans="1:10" ht="34">
      <c r="A16" s="242"/>
      <c r="B16" s="241" t="s">
        <v>394</v>
      </c>
      <c r="C16" s="240" t="s">
        <v>393</v>
      </c>
      <c r="D16" s="240" t="s">
        <v>392</v>
      </c>
      <c r="E16" s="240" t="s">
        <v>391</v>
      </c>
      <c r="F16" s="240" t="s">
        <v>390</v>
      </c>
      <c r="G16" s="240" t="s">
        <v>389</v>
      </c>
      <c r="H16" s="240" t="s">
        <v>388</v>
      </c>
    </row>
    <row r="17" spans="1:10" ht="25" customHeight="1">
      <c r="A17" s="259" t="s">
        <v>385</v>
      </c>
      <c r="B17" s="265" t="s">
        <v>450</v>
      </c>
      <c r="C17" s="231">
        <v>1</v>
      </c>
      <c r="D17" s="231"/>
      <c r="E17" s="232">
        <f>E4</f>
        <v>0</v>
      </c>
      <c r="F17" s="231"/>
      <c r="G17" s="231"/>
      <c r="H17" s="235"/>
    </row>
    <row r="18" spans="1:10" ht="26" customHeight="1">
      <c r="A18" s="238" t="s">
        <v>385</v>
      </c>
      <c r="B18" s="233" t="s">
        <v>449</v>
      </c>
      <c r="C18" s="231">
        <v>1</v>
      </c>
      <c r="D18" s="231"/>
      <c r="E18" s="232">
        <f>E4</f>
        <v>0</v>
      </c>
      <c r="F18" s="231"/>
      <c r="G18" s="231"/>
      <c r="H18" s="235"/>
    </row>
    <row r="19" spans="1:10" ht="26" customHeight="1">
      <c r="A19" s="252" t="s">
        <v>410</v>
      </c>
      <c r="B19" s="233" t="s">
        <v>448</v>
      </c>
      <c r="C19" s="231">
        <v>1</v>
      </c>
      <c r="D19" s="231"/>
      <c r="E19" s="232">
        <f>E4</f>
        <v>0</v>
      </c>
      <c r="F19" s="231"/>
      <c r="G19" s="231"/>
      <c r="H19" s="235"/>
    </row>
    <row r="20" spans="1:10" ht="26" customHeight="1">
      <c r="A20" s="252" t="s">
        <v>410</v>
      </c>
      <c r="B20" s="233" t="s">
        <v>447</v>
      </c>
      <c r="C20" s="231" t="s">
        <v>404</v>
      </c>
      <c r="D20" s="231"/>
      <c r="E20" s="232">
        <f>E4</f>
        <v>0</v>
      </c>
      <c r="F20" s="231"/>
      <c r="G20" s="231"/>
      <c r="H20" s="231">
        <f>IF('Pricing Worksheet'!C24,1,0)</f>
        <v>0</v>
      </c>
    </row>
    <row r="21" spans="1:10" ht="26" customHeight="1">
      <c r="A21" s="252" t="s">
        <v>410</v>
      </c>
      <c r="B21" s="233" t="s">
        <v>446</v>
      </c>
      <c r="C21" s="231">
        <v>2</v>
      </c>
      <c r="D21" s="231"/>
      <c r="E21" s="232">
        <f>E4</f>
        <v>0</v>
      </c>
      <c r="F21" s="231"/>
      <c r="G21" s="231"/>
      <c r="H21" s="231"/>
    </row>
    <row r="22" spans="1:10" ht="26" customHeight="1">
      <c r="A22" s="251" t="s">
        <v>381</v>
      </c>
      <c r="B22" s="233" t="s">
        <v>445</v>
      </c>
      <c r="C22" s="231">
        <v>2</v>
      </c>
      <c r="D22" s="231"/>
      <c r="E22" s="232">
        <f>E4</f>
        <v>0</v>
      </c>
      <c r="F22" s="231"/>
      <c r="G22" s="231"/>
      <c r="H22" s="231"/>
    </row>
    <row r="23" spans="1:10" ht="26" customHeight="1">
      <c r="A23" s="248" t="s">
        <v>15</v>
      </c>
      <c r="B23" s="233" t="s">
        <v>444</v>
      </c>
      <c r="C23" s="231" t="s">
        <v>443</v>
      </c>
      <c r="D23" s="235"/>
      <c r="E23" s="232">
        <f>E4</f>
        <v>0</v>
      </c>
      <c r="F23" s="235"/>
      <c r="G23" s="231"/>
      <c r="H23" s="231"/>
    </row>
    <row r="24" spans="1:10" ht="26" customHeight="1">
      <c r="A24" s="264" t="s">
        <v>15</v>
      </c>
      <c r="B24" s="233" t="s">
        <v>442</v>
      </c>
      <c r="C24" s="231">
        <v>1</v>
      </c>
      <c r="D24" s="235"/>
      <c r="E24" s="232">
        <f>E4</f>
        <v>0</v>
      </c>
      <c r="F24" s="235"/>
      <c r="G24" s="231"/>
      <c r="H24" s="231">
        <f>IF('Pricing Worksheet'!C17,1,0)</f>
        <v>1</v>
      </c>
      <c r="I24">
        <f>IF('Pricing Worksheet'!C16,1,0)</f>
        <v>0</v>
      </c>
      <c r="J24" t="s">
        <v>441</v>
      </c>
    </row>
    <row r="25" spans="1:10" ht="100" customHeight="1">
      <c r="A25" s="242"/>
      <c r="B25" s="229"/>
      <c r="C25" s="227"/>
      <c r="D25" s="263"/>
      <c r="E25" s="227"/>
      <c r="F25" s="263"/>
      <c r="G25" s="227"/>
      <c r="H25" s="227"/>
    </row>
    <row r="26" spans="1:10" ht="34">
      <c r="A26" s="242"/>
      <c r="B26" s="246" t="s">
        <v>440</v>
      </c>
      <c r="C26" s="245"/>
      <c r="D26" s="262"/>
      <c r="E26" s="245"/>
      <c r="F26" s="262"/>
      <c r="G26" s="245"/>
      <c r="H26" s="242"/>
    </row>
    <row r="27" spans="1:10" ht="37">
      <c r="A27" s="242"/>
      <c r="B27" s="244" t="s">
        <v>378</v>
      </c>
      <c r="C27" s="244">
        <f>'[2]Build Sheet'!G2</f>
        <v>0</v>
      </c>
      <c r="D27" s="243">
        <f>'[2]Pricing Worksheet'!F2</f>
        <v>0</v>
      </c>
      <c r="E27" s="243">
        <f>'[2]Pricing Worksheet'!I6</f>
        <v>0</v>
      </c>
      <c r="F27" s="243"/>
      <c r="G27" s="242"/>
      <c r="H27" s="242" t="s">
        <v>439</v>
      </c>
    </row>
    <row r="28" spans="1:10" ht="34">
      <c r="A28" s="242"/>
      <c r="B28" s="241" t="s">
        <v>394</v>
      </c>
      <c r="C28" s="240" t="s">
        <v>393</v>
      </c>
      <c r="D28" s="240" t="s">
        <v>392</v>
      </c>
      <c r="E28" s="240" t="s">
        <v>391</v>
      </c>
      <c r="F28" s="240" t="s">
        <v>390</v>
      </c>
      <c r="G28" s="240" t="s">
        <v>389</v>
      </c>
      <c r="H28" s="261" t="s">
        <v>388</v>
      </c>
    </row>
    <row r="29" spans="1:10" ht="27" customHeight="1">
      <c r="A29" s="260" t="s">
        <v>387</v>
      </c>
      <c r="B29" s="256" t="s">
        <v>438</v>
      </c>
      <c r="C29" s="233">
        <v>1</v>
      </c>
      <c r="D29" s="240"/>
      <c r="E29" s="232">
        <f>E4</f>
        <v>0</v>
      </c>
      <c r="F29" s="240"/>
      <c r="G29" s="240"/>
      <c r="H29" s="240"/>
    </row>
    <row r="30" spans="1:10" ht="26" customHeight="1">
      <c r="A30" s="259" t="s">
        <v>385</v>
      </c>
      <c r="B30" s="256" t="s">
        <v>437</v>
      </c>
      <c r="C30" s="231" t="s">
        <v>436</v>
      </c>
      <c r="D30" s="240"/>
      <c r="E30" s="236">
        <f>E4</f>
        <v>0</v>
      </c>
      <c r="F30" s="240"/>
      <c r="G30" s="240"/>
      <c r="H30" s="233">
        <f>IF('Pricing Worksheet'!C14,1,0)</f>
        <v>1</v>
      </c>
      <c r="I30">
        <f>IF('Pricing Worksheet'!C15,1,0)</f>
        <v>1</v>
      </c>
      <c r="J30" t="s">
        <v>151</v>
      </c>
    </row>
    <row r="31" spans="1:10" ht="25" customHeight="1">
      <c r="A31" s="258" t="s">
        <v>410</v>
      </c>
      <c r="B31" s="256" t="s">
        <v>435</v>
      </c>
      <c r="C31" s="231" t="s">
        <v>404</v>
      </c>
      <c r="D31" s="240"/>
      <c r="E31" s="236">
        <f>E4</f>
        <v>0</v>
      </c>
      <c r="F31" s="240"/>
      <c r="G31" s="240"/>
      <c r="H31" s="240"/>
    </row>
    <row r="32" spans="1:10" ht="26" customHeight="1">
      <c r="A32" s="257" t="s">
        <v>410</v>
      </c>
      <c r="B32" s="256" t="s">
        <v>434</v>
      </c>
      <c r="C32" s="231">
        <v>1</v>
      </c>
      <c r="D32" s="240"/>
      <c r="E32" s="236">
        <f>E4</f>
        <v>0</v>
      </c>
      <c r="F32" s="240"/>
      <c r="G32" s="240"/>
      <c r="H32" s="240"/>
    </row>
    <row r="33" spans="1:11" ht="26" customHeight="1">
      <c r="A33" s="237" t="s">
        <v>381</v>
      </c>
      <c r="B33" s="233" t="s">
        <v>433</v>
      </c>
      <c r="C33" s="231" t="s">
        <v>432</v>
      </c>
      <c r="D33" s="231"/>
      <c r="E33" s="236">
        <f>E4</f>
        <v>0</v>
      </c>
      <c r="F33" s="231"/>
      <c r="G33" s="231"/>
      <c r="H33" s="231"/>
    </row>
    <row r="34" spans="1:11" ht="26" customHeight="1">
      <c r="A34" s="251" t="s">
        <v>381</v>
      </c>
      <c r="B34" s="233" t="s">
        <v>431</v>
      </c>
      <c r="C34" s="231" t="s">
        <v>404</v>
      </c>
      <c r="D34" s="235"/>
      <c r="E34" s="236">
        <f>E4</f>
        <v>0</v>
      </c>
      <c r="F34" s="235"/>
      <c r="G34" s="231"/>
      <c r="H34" s="231">
        <f>IF('Pricing Worksheet'!C32,1,0)</f>
        <v>0</v>
      </c>
    </row>
    <row r="35" spans="1:11" ht="26" customHeight="1">
      <c r="A35" s="251" t="s">
        <v>381</v>
      </c>
      <c r="B35" s="233" t="s">
        <v>430</v>
      </c>
      <c r="C35" s="231">
        <v>2</v>
      </c>
      <c r="D35" s="235"/>
      <c r="E35" s="236">
        <f>E4</f>
        <v>0</v>
      </c>
      <c r="F35" s="235"/>
      <c r="G35" s="231"/>
      <c r="H35" s="231">
        <f>IF('Pricing Worksheet'!C32,1,0)</f>
        <v>0</v>
      </c>
    </row>
    <row r="36" spans="1:11" ht="26" customHeight="1">
      <c r="A36" s="251" t="s">
        <v>381</v>
      </c>
      <c r="B36" s="233" t="s">
        <v>429</v>
      </c>
      <c r="C36" s="231">
        <v>4</v>
      </c>
      <c r="D36" s="235"/>
      <c r="E36" s="236">
        <f>E5</f>
        <v>0</v>
      </c>
      <c r="F36" s="235"/>
      <c r="G36" s="231"/>
      <c r="H36" s="231"/>
    </row>
    <row r="37" spans="1:11" ht="26" customHeight="1">
      <c r="A37" s="251" t="s">
        <v>381</v>
      </c>
      <c r="B37" s="233" t="s">
        <v>428</v>
      </c>
      <c r="C37" s="231">
        <v>2</v>
      </c>
      <c r="D37" s="231"/>
      <c r="E37" s="236">
        <f>E4</f>
        <v>0</v>
      </c>
      <c r="F37" s="231"/>
      <c r="G37" s="231"/>
      <c r="H37" s="231"/>
    </row>
    <row r="38" spans="1:11" ht="26" customHeight="1">
      <c r="A38" s="250" t="s">
        <v>406</v>
      </c>
      <c r="B38" s="233" t="s">
        <v>427</v>
      </c>
      <c r="C38" s="231" t="s">
        <v>404</v>
      </c>
      <c r="D38" s="231"/>
      <c r="E38" s="236">
        <f>E4</f>
        <v>0</v>
      </c>
      <c r="F38" s="231"/>
      <c r="G38" s="231"/>
      <c r="H38" s="231"/>
    </row>
    <row r="39" spans="1:11" ht="27" customHeight="1">
      <c r="A39" s="255" t="s">
        <v>347</v>
      </c>
      <c r="B39" s="233" t="s">
        <v>426</v>
      </c>
      <c r="C39" s="231">
        <v>2</v>
      </c>
      <c r="D39" s="231"/>
      <c r="E39" s="232">
        <f>E4</f>
        <v>0</v>
      </c>
      <c r="F39" s="231"/>
      <c r="G39" s="231"/>
      <c r="H39" s="231"/>
    </row>
    <row r="40" spans="1:11" ht="27" customHeight="1">
      <c r="A40" s="255" t="s">
        <v>347</v>
      </c>
      <c r="B40" s="233" t="s">
        <v>425</v>
      </c>
      <c r="C40" s="231">
        <v>1</v>
      </c>
      <c r="D40" s="231"/>
      <c r="E40" s="236">
        <f>E4</f>
        <v>0</v>
      </c>
      <c r="F40" s="231"/>
      <c r="G40" s="231"/>
      <c r="H40" s="231">
        <f>IF('Pricing Worksheet'!C27,1,0)</f>
        <v>0</v>
      </c>
    </row>
    <row r="41" spans="1:11" ht="26" customHeight="1">
      <c r="A41" s="255" t="s">
        <v>347</v>
      </c>
      <c r="B41" s="233" t="s">
        <v>424</v>
      </c>
      <c r="C41" s="231">
        <v>1</v>
      </c>
      <c r="D41" s="231"/>
      <c r="E41" s="236">
        <f>E4</f>
        <v>0</v>
      </c>
      <c r="F41" s="231"/>
      <c r="G41" s="231"/>
      <c r="H41" s="231">
        <f>IF('Pricing Worksheet'!C29,1,0)</f>
        <v>0</v>
      </c>
      <c r="I41" t="s">
        <v>359</v>
      </c>
      <c r="J41">
        <f>IF('Pricing Worksheet'!C30,1,0)</f>
        <v>0</v>
      </c>
      <c r="K41" t="s">
        <v>467</v>
      </c>
    </row>
    <row r="42" spans="1:11" ht="27" customHeight="1">
      <c r="A42" s="255" t="s">
        <v>347</v>
      </c>
      <c r="B42" s="233" t="s">
        <v>423</v>
      </c>
      <c r="C42" s="231">
        <v>2</v>
      </c>
      <c r="D42" s="235"/>
      <c r="E42" s="236">
        <f>E4</f>
        <v>0</v>
      </c>
      <c r="F42" s="235"/>
      <c r="G42" s="231"/>
      <c r="H42" s="231"/>
    </row>
    <row r="43" spans="1:11" ht="26" customHeight="1">
      <c r="A43" s="255" t="s">
        <v>347</v>
      </c>
      <c r="B43" s="233" t="s">
        <v>422</v>
      </c>
      <c r="C43" s="231">
        <v>2</v>
      </c>
      <c r="D43" s="231"/>
      <c r="E43" s="236">
        <f>E4</f>
        <v>0</v>
      </c>
      <c r="F43" s="231"/>
      <c r="G43" s="231"/>
      <c r="H43" s="231"/>
    </row>
    <row r="44" spans="1:11" ht="26" customHeight="1">
      <c r="A44" s="247" t="s">
        <v>400</v>
      </c>
      <c r="B44" s="233" t="s">
        <v>421</v>
      </c>
      <c r="C44" s="231" t="s">
        <v>404</v>
      </c>
      <c r="D44" s="231"/>
      <c r="E44" s="236">
        <f>E4</f>
        <v>0</v>
      </c>
      <c r="F44" s="231"/>
      <c r="G44" s="231"/>
      <c r="H44" s="231"/>
    </row>
    <row r="45" spans="1:11" ht="27" customHeight="1">
      <c r="A45" s="247" t="s">
        <v>400</v>
      </c>
      <c r="B45" s="233" t="s">
        <v>420</v>
      </c>
      <c r="C45" s="231" t="s">
        <v>404</v>
      </c>
      <c r="D45" s="231"/>
      <c r="E45" s="236">
        <f>E4</f>
        <v>0</v>
      </c>
      <c r="F45" s="231"/>
      <c r="G45" s="231"/>
      <c r="H45" s="231"/>
    </row>
    <row r="46" spans="1:11" ht="26" customHeight="1">
      <c r="A46" s="254" t="s">
        <v>37</v>
      </c>
      <c r="B46" s="233" t="s">
        <v>419</v>
      </c>
      <c r="C46" s="231">
        <v>1</v>
      </c>
      <c r="D46" s="231"/>
      <c r="E46" s="236">
        <f>E4</f>
        <v>0</v>
      </c>
      <c r="F46" s="231"/>
      <c r="G46" s="231"/>
      <c r="H46" s="231"/>
    </row>
    <row r="47" spans="1:11" ht="34">
      <c r="A47" s="242"/>
      <c r="B47" s="246" t="s">
        <v>418</v>
      </c>
      <c r="C47" s="245"/>
      <c r="D47" s="242"/>
      <c r="E47" s="236"/>
      <c r="F47" s="242"/>
      <c r="G47" s="242"/>
      <c r="H47" s="242"/>
    </row>
    <row r="48" spans="1:11" ht="37">
      <c r="A48" s="242"/>
      <c r="B48" s="244" t="s">
        <v>378</v>
      </c>
      <c r="C48" s="244">
        <f>'[2]Build Sheet'!G2</f>
        <v>0</v>
      </c>
      <c r="D48" s="243">
        <f>'[2]Pricing Worksheet'!F2</f>
        <v>0</v>
      </c>
      <c r="E48" s="243">
        <f>'[2]Pricing Worksheet'!I6</f>
        <v>0</v>
      </c>
      <c r="F48" s="243"/>
      <c r="G48" s="242"/>
      <c r="H48" s="242" t="s">
        <v>417</v>
      </c>
    </row>
    <row r="49" spans="1:9" ht="34">
      <c r="A49" s="242"/>
      <c r="B49" s="241" t="s">
        <v>394</v>
      </c>
      <c r="C49" s="240" t="s">
        <v>393</v>
      </c>
      <c r="D49" s="240" t="s">
        <v>392</v>
      </c>
      <c r="E49" s="240" t="s">
        <v>391</v>
      </c>
      <c r="F49" s="240" t="s">
        <v>390</v>
      </c>
      <c r="G49" s="240" t="s">
        <v>389</v>
      </c>
      <c r="H49" s="240" t="s">
        <v>388</v>
      </c>
    </row>
    <row r="50" spans="1:9" ht="26" customHeight="1">
      <c r="A50" s="253" t="s">
        <v>410</v>
      </c>
      <c r="B50" s="233" t="s">
        <v>416</v>
      </c>
      <c r="C50" s="231">
        <v>1</v>
      </c>
      <c r="D50" s="235"/>
      <c r="E50" s="232">
        <f>E4</f>
        <v>0</v>
      </c>
      <c r="F50" s="235"/>
      <c r="G50" s="231"/>
      <c r="H50" s="231">
        <f>IF('Pricing Worksheet'!C27,1,0)</f>
        <v>0</v>
      </c>
      <c r="I50" t="s">
        <v>415</v>
      </c>
    </row>
    <row r="51" spans="1:9" ht="25" customHeight="1">
      <c r="A51" s="253" t="s">
        <v>410</v>
      </c>
      <c r="B51" s="233" t="s">
        <v>414</v>
      </c>
      <c r="C51" s="231">
        <v>1</v>
      </c>
      <c r="D51" s="235"/>
      <c r="E51" s="236">
        <f>E4</f>
        <v>0</v>
      </c>
      <c r="F51" s="235"/>
      <c r="G51" s="231"/>
      <c r="H51" s="231"/>
    </row>
    <row r="52" spans="1:9" ht="25" customHeight="1">
      <c r="A52" s="253" t="s">
        <v>410</v>
      </c>
      <c r="B52" s="233" t="s">
        <v>413</v>
      </c>
      <c r="C52" s="231" t="s">
        <v>412</v>
      </c>
      <c r="D52" s="235"/>
      <c r="E52" s="236">
        <f>E4</f>
        <v>0</v>
      </c>
      <c r="F52" s="235"/>
      <c r="G52" s="231"/>
      <c r="H52" s="231"/>
    </row>
    <row r="53" spans="1:9" ht="26" customHeight="1">
      <c r="A53" s="252" t="s">
        <v>410</v>
      </c>
      <c r="B53" s="233" t="s">
        <v>411</v>
      </c>
      <c r="C53" s="231">
        <v>1</v>
      </c>
      <c r="D53" s="231"/>
      <c r="E53" s="236">
        <f>E4</f>
        <v>0</v>
      </c>
      <c r="F53" s="231"/>
      <c r="G53" s="231"/>
      <c r="H53" s="231"/>
    </row>
    <row r="54" spans="1:9" ht="25" customHeight="1">
      <c r="A54" s="252" t="s">
        <v>410</v>
      </c>
      <c r="B54" s="233" t="s">
        <v>409</v>
      </c>
      <c r="C54" s="231">
        <v>2</v>
      </c>
      <c r="D54" s="231"/>
      <c r="E54" s="236">
        <f>E4</f>
        <v>0</v>
      </c>
      <c r="F54" s="231"/>
      <c r="G54" s="231"/>
      <c r="H54" s="231"/>
    </row>
    <row r="55" spans="1:9" ht="26" customHeight="1">
      <c r="A55" s="251" t="s">
        <v>381</v>
      </c>
      <c r="B55" s="233" t="s">
        <v>408</v>
      </c>
      <c r="C55" s="231">
        <v>2</v>
      </c>
      <c r="D55" s="231"/>
      <c r="E55" s="236">
        <f>E4</f>
        <v>0</v>
      </c>
      <c r="F55" s="231"/>
      <c r="G55" s="231"/>
      <c r="H55" s="231"/>
    </row>
    <row r="56" spans="1:9" ht="27" customHeight="1">
      <c r="A56" s="250" t="s">
        <v>406</v>
      </c>
      <c r="B56" s="233" t="s">
        <v>407</v>
      </c>
      <c r="C56" s="231" t="s">
        <v>404</v>
      </c>
      <c r="D56" s="231"/>
      <c r="E56" s="236">
        <f>E4</f>
        <v>0</v>
      </c>
      <c r="F56" s="231"/>
      <c r="G56" s="231"/>
      <c r="H56" s="231"/>
    </row>
    <row r="57" spans="1:9" ht="26" customHeight="1">
      <c r="A57" s="250" t="s">
        <v>406</v>
      </c>
      <c r="B57" s="249" t="s">
        <v>405</v>
      </c>
      <c r="C57" s="231" t="s">
        <v>404</v>
      </c>
      <c r="D57" s="231"/>
      <c r="E57" s="236">
        <f>E4</f>
        <v>0</v>
      </c>
      <c r="F57" s="231"/>
      <c r="G57" s="231"/>
      <c r="H57" s="231" t="str">
        <f>'Pricing Worksheet'!I35</f>
        <v>Blue</v>
      </c>
    </row>
    <row r="58" spans="1:9" ht="26" customHeight="1">
      <c r="A58" s="248" t="s">
        <v>15</v>
      </c>
      <c r="B58" s="233" t="s">
        <v>403</v>
      </c>
      <c r="C58" s="235">
        <v>1</v>
      </c>
      <c r="D58" s="231"/>
      <c r="E58" s="236">
        <f>E4</f>
        <v>0</v>
      </c>
      <c r="F58" s="231"/>
      <c r="G58" s="231"/>
      <c r="H58" s="231" t="str">
        <f>'Pricing Worksheet'!I35</f>
        <v>Blue</v>
      </c>
    </row>
    <row r="59" spans="1:9" ht="26" customHeight="1">
      <c r="A59" s="248" t="s">
        <v>15</v>
      </c>
      <c r="B59" s="233" t="s">
        <v>402</v>
      </c>
      <c r="C59" s="231">
        <v>2</v>
      </c>
      <c r="D59" s="231"/>
      <c r="E59" s="232">
        <f>E4</f>
        <v>0</v>
      </c>
      <c r="F59" s="231"/>
      <c r="G59" s="231"/>
      <c r="H59" s="231"/>
    </row>
    <row r="60" spans="1:9" ht="26" customHeight="1">
      <c r="A60" s="247" t="s">
        <v>400</v>
      </c>
      <c r="B60" s="233" t="s">
        <v>401</v>
      </c>
      <c r="C60" s="231">
        <v>2</v>
      </c>
      <c r="D60" s="231"/>
      <c r="E60" s="232">
        <f>E4</f>
        <v>0</v>
      </c>
      <c r="F60" s="231"/>
      <c r="G60" s="231"/>
      <c r="H60" s="231"/>
    </row>
    <row r="61" spans="1:9" ht="26" customHeight="1">
      <c r="A61" s="247" t="s">
        <v>400</v>
      </c>
      <c r="B61" s="233" t="s">
        <v>399</v>
      </c>
      <c r="C61" s="231">
        <v>2</v>
      </c>
      <c r="D61" s="231"/>
      <c r="E61" s="232">
        <f>E4</f>
        <v>0</v>
      </c>
      <c r="F61" s="231"/>
      <c r="G61" s="231"/>
      <c r="H61" s="231" t="str">
        <f>'Pricing Worksheet'!I44</f>
        <v>Undecided</v>
      </c>
    </row>
    <row r="62" spans="1:9" ht="25" customHeight="1">
      <c r="A62" s="234" t="s">
        <v>37</v>
      </c>
      <c r="B62" s="233" t="s">
        <v>398</v>
      </c>
      <c r="C62" s="231">
        <v>2</v>
      </c>
      <c r="D62" s="231"/>
      <c r="E62" s="232">
        <f>E4</f>
        <v>0</v>
      </c>
      <c r="F62" s="231"/>
      <c r="G62" s="231"/>
      <c r="H62" s="231"/>
    </row>
    <row r="63" spans="1:9" ht="27" customHeight="1">
      <c r="A63" s="234" t="s">
        <v>37</v>
      </c>
      <c r="B63" s="233" t="s">
        <v>397</v>
      </c>
      <c r="C63" s="231">
        <v>1</v>
      </c>
      <c r="D63" s="231"/>
      <c r="E63" s="232">
        <f>E4</f>
        <v>0</v>
      </c>
      <c r="F63" s="231"/>
      <c r="G63" s="231"/>
      <c r="H63" s="231">
        <f>IF('Pricing Worksheet'!C30,1,0)</f>
        <v>0</v>
      </c>
      <c r="I63" t="s">
        <v>467</v>
      </c>
    </row>
    <row r="64" spans="1:9" ht="100" customHeight="1">
      <c r="A64" s="230"/>
      <c r="B64" s="229"/>
      <c r="C64" s="227"/>
      <c r="D64" s="227"/>
      <c r="E64" s="227"/>
      <c r="F64" s="227"/>
      <c r="G64" s="227"/>
      <c r="H64" s="227"/>
    </row>
    <row r="65" spans="1:10" ht="34">
      <c r="A65" s="242"/>
      <c r="B65" s="246" t="s">
        <v>396</v>
      </c>
      <c r="C65" s="245"/>
      <c r="D65" s="242"/>
      <c r="E65" s="242"/>
      <c r="F65" s="242"/>
      <c r="G65" s="242"/>
      <c r="H65" s="242"/>
    </row>
    <row r="66" spans="1:10" ht="37">
      <c r="A66" s="242"/>
      <c r="B66" s="244" t="s">
        <v>378</v>
      </c>
      <c r="C66" s="244">
        <f>'[2]Build Sheet'!G2</f>
        <v>0</v>
      </c>
      <c r="D66" s="243">
        <f>'[2]Pricing Worksheet'!F2</f>
        <v>0</v>
      </c>
      <c r="E66" s="243">
        <f>'[2]Pricing Worksheet'!I6</f>
        <v>0</v>
      </c>
      <c r="F66" s="243"/>
      <c r="G66" s="242"/>
      <c r="H66" s="242" t="s">
        <v>395</v>
      </c>
    </row>
    <row r="67" spans="1:10" ht="34">
      <c r="A67" s="242"/>
      <c r="B67" s="241" t="s">
        <v>394</v>
      </c>
      <c r="C67" s="240" t="s">
        <v>393</v>
      </c>
      <c r="D67" s="240" t="s">
        <v>392</v>
      </c>
      <c r="E67" s="240" t="s">
        <v>391</v>
      </c>
      <c r="F67" s="240" t="s">
        <v>390</v>
      </c>
      <c r="G67" s="240" t="s">
        <v>389</v>
      </c>
      <c r="H67" s="240" t="s">
        <v>388</v>
      </c>
    </row>
    <row r="68" spans="1:10" ht="26" customHeight="1">
      <c r="A68" s="239" t="s">
        <v>387</v>
      </c>
      <c r="B68" s="233" t="s">
        <v>386</v>
      </c>
      <c r="C68" s="231">
        <v>1</v>
      </c>
      <c r="D68" s="235"/>
      <c r="E68" s="232">
        <f>E4</f>
        <v>0</v>
      </c>
      <c r="F68" s="235"/>
      <c r="G68" s="231"/>
      <c r="H68" s="231"/>
    </row>
    <row r="69" spans="1:10" ht="27" customHeight="1">
      <c r="A69" s="238" t="s">
        <v>385</v>
      </c>
      <c r="B69" s="233" t="s">
        <v>384</v>
      </c>
      <c r="C69" s="231">
        <v>1</v>
      </c>
      <c r="D69" s="235"/>
      <c r="E69" s="236">
        <f>E4</f>
        <v>0</v>
      </c>
      <c r="F69" s="235"/>
      <c r="G69" s="231"/>
      <c r="H69" s="231">
        <f>IF('Pricing Worksheet'!C14,1,0)</f>
        <v>1</v>
      </c>
      <c r="I69">
        <f>IF('Pricing Worksheet'!C15,1,0)</f>
        <v>1</v>
      </c>
      <c r="J69" t="s">
        <v>151</v>
      </c>
    </row>
    <row r="70" spans="1:10" ht="26" customHeight="1">
      <c r="A70" s="237" t="s">
        <v>381</v>
      </c>
      <c r="B70" s="233" t="s">
        <v>383</v>
      </c>
      <c r="C70" s="231">
        <v>1</v>
      </c>
      <c r="D70" s="235"/>
      <c r="E70" s="236">
        <f>E4</f>
        <v>0</v>
      </c>
      <c r="F70" s="235"/>
      <c r="G70" s="231"/>
      <c r="H70" s="231">
        <f>IF('Pricing Worksheet'!C32,1,0)</f>
        <v>0</v>
      </c>
      <c r="I70">
        <f>IF('Pricing Worksheet'!C33,1,0)</f>
        <v>0</v>
      </c>
      <c r="J70" t="s">
        <v>382</v>
      </c>
    </row>
    <row r="71" spans="1:10" ht="27" customHeight="1">
      <c r="A71" s="237" t="s">
        <v>381</v>
      </c>
      <c r="B71" s="233" t="s">
        <v>380</v>
      </c>
      <c r="C71" s="231">
        <v>1</v>
      </c>
      <c r="D71" s="235"/>
      <c r="E71" s="236">
        <f>E4</f>
        <v>0</v>
      </c>
      <c r="F71" s="235"/>
      <c r="G71" s="231"/>
      <c r="H71" s="231">
        <f>IF('Pricing Worksheet'!C32,1,0)</f>
        <v>0</v>
      </c>
    </row>
    <row r="72" spans="1:10" ht="26" customHeight="1">
      <c r="A72" s="234" t="s">
        <v>37</v>
      </c>
      <c r="B72" s="233" t="s">
        <v>379</v>
      </c>
      <c r="C72" s="231">
        <v>2</v>
      </c>
      <c r="D72" s="231"/>
      <c r="E72" s="232">
        <f>E4</f>
        <v>0</v>
      </c>
      <c r="F72" s="231"/>
      <c r="G72" s="231"/>
      <c r="H72" s="231"/>
    </row>
    <row r="73" spans="1:10" ht="92" customHeight="1">
      <c r="A73" s="230"/>
      <c r="B73" s="229"/>
      <c r="C73" s="227"/>
      <c r="D73" s="227"/>
      <c r="E73" s="228"/>
      <c r="F73" s="227"/>
      <c r="G73" s="227"/>
      <c r="H73" s="227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Weight Calc</vt:lpstr>
      <vt:lpstr>Pricing Worksheet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2024-01-11T19:48:32Z</cp:lastPrinted>
  <dcterms:created xsi:type="dcterms:W3CDTF">2013-05-30T20:58:06Z</dcterms:created>
  <dcterms:modified xsi:type="dcterms:W3CDTF">2025-02-19T21:47:37Z</dcterms:modified>
</cp:coreProperties>
</file>